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austroads-dc01\Data2009\AP\Research Reports\AP-R653-21\"/>
    </mc:Choice>
  </mc:AlternateContent>
  <xr:revisionPtr revIDLastSave="0" documentId="13_ncr:1_{308880C8-EF3E-44A6-9EFD-3BC2CF5C2791}" xr6:coauthVersionLast="47" xr6:coauthVersionMax="47" xr10:uidLastSave="{00000000-0000-0000-0000-000000000000}"/>
  <bookViews>
    <workbookView xWindow="-28920" yWindow="-120" windowWidth="29040" windowHeight="15840" xr2:uid="{00000000-000D-0000-FFFF-FFFF00000000}"/>
  </bookViews>
  <sheets>
    <sheet name="Info" sheetId="1" r:id="rId1"/>
    <sheet name="User interface" sheetId="8" r:id="rId2"/>
    <sheet name="Calculations" sheetId="12" r:id="rId3"/>
    <sheet name="Detailed assumptions =&gt;" sheetId="14" r:id="rId4"/>
    <sheet name="High level assumptions" sheetId="9" r:id="rId5"/>
    <sheet name="VOC and vehicle mix" sheetId="15" r:id="rId6"/>
    <sheet name="Safety" sheetId="13" r:id="rId7"/>
    <sheet name="Lists" sheetId="10" r:id="rId8"/>
  </sheets>
  <externalReferences>
    <externalReference r:id="rId9"/>
    <externalReference r:id="rId10"/>
    <externalReference r:id="rId11"/>
  </externalReferences>
  <definedNames>
    <definedName name="AADT">'User interface'!$C$11</definedName>
    <definedName name="area" hidden="1">[1]Lists!$G$19:$G$20</definedName>
    <definedName name="ARTIC_FATALITIES_BY_JURISDICTION" hidden="1">#REF!</definedName>
    <definedName name="AssetType">'User interface'!$C$9</definedName>
    <definedName name="Averaging_methodology_other_usage" hidden="1">'[2]A.1 Assumptions'!$E$82</definedName>
    <definedName name="Averaging_methodology_vehicle_population" hidden="1">'[2]A.1 Assumptions'!$E$77</definedName>
    <definedName name="BenefitYear">'User interface'!$C$13</definedName>
    <definedName name="CPI_2013">'High level assumptions'!$C$13</definedName>
    <definedName name="CPI_2019">'High level assumptions'!$C$14</definedName>
    <definedName name="CPI_2020">'High level assumptions'!$C$16</definedName>
    <definedName name="CPI_Dec2019">'High level assumptions'!$C$15</definedName>
    <definedName name="Discount_Rate">'High level assumptions'!$C$7</definedName>
    <definedName name="Expenditure_categories" hidden="1">'[2]M.1 Masterlists'!$D$49:$E$72</definedName>
    <definedName name="Jurisdiction" hidden="1">[3]Lists!$I$5:$I$14</definedName>
    <definedName name="Jurisdictions" hidden="1">'[2]M.1 Masterlists'!$D$149:$E$158</definedName>
    <definedName name="Pal_Workbook_GUID" hidden="1">"ZJXJW7YX224B18QT9TBA3DPQ"</definedName>
    <definedName name="Region">'User interface'!$C$12</definedName>
    <definedName name="RiskIsInput" hidden="1">FALSE</definedName>
    <definedName name="RiskIsOptimization" hidden="1">FALSE</definedName>
    <definedName name="RiskIsOutput" hidden="1">FALSE</definedName>
    <definedName name="RiskIsStatistics" hidden="1">FALSE</definedName>
    <definedName name="SAPBEXdnldView" hidden="1">"72LBBQ4E3BNXKPNWEQF2AMHPC"</definedName>
    <definedName name="SAPBEXsysID" hidden="1">"DWH"</definedName>
    <definedName name="Traffic_Growth">'High level assumptions'!$C$8</definedName>
    <definedName name="Vehicle_classes" hidden="1">'[2]M.1 Masterlists'!$D$77:$E$112</definedName>
  </definedNames>
  <calcPr calcId="191029" iterate="1" iterateCount="1000"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5" i="8" l="1"/>
  <c r="E33" i="15" l="1"/>
  <c r="E34" i="15"/>
  <c r="E35" i="15"/>
  <c r="E36" i="15"/>
  <c r="E37" i="15"/>
  <c r="E38" i="15"/>
  <c r="C51" i="15"/>
  <c r="D51" i="15"/>
  <c r="C52" i="15"/>
  <c r="D52" i="15"/>
  <c r="C53" i="15"/>
  <c r="D53" i="15"/>
  <c r="C54" i="15"/>
  <c r="D54" i="15"/>
  <c r="C55" i="15"/>
  <c r="D55" i="15"/>
  <c r="C56" i="15"/>
  <c r="D56" i="15"/>
  <c r="G75" i="15"/>
  <c r="G76" i="15"/>
  <c r="G77" i="15"/>
  <c r="A1" i="15"/>
  <c r="G78" i="15" l="1"/>
  <c r="C40" i="13"/>
  <c r="C62" i="12" s="1"/>
  <c r="C66" i="15"/>
  <c r="D66" i="15"/>
  <c r="D57" i="15"/>
  <c r="C57" i="15"/>
  <c r="E78" i="15"/>
  <c r="D78" i="15"/>
  <c r="C78" i="15"/>
  <c r="F78" i="15"/>
  <c r="D9" i="12"/>
  <c r="E9" i="12" s="1"/>
  <c r="F9" i="12" s="1"/>
  <c r="G9" i="12" s="1"/>
  <c r="H9" i="12" s="1"/>
  <c r="I9" i="12" s="1"/>
  <c r="J9" i="12" s="1"/>
  <c r="K9" i="12" s="1"/>
  <c r="L9" i="12" s="1"/>
  <c r="M9" i="12" s="1"/>
  <c r="C16" i="13"/>
  <c r="D25" i="13"/>
  <c r="C25" i="13"/>
  <c r="D26" i="13"/>
  <c r="C26" i="13"/>
  <c r="A1" i="14"/>
  <c r="A1" i="13"/>
  <c r="C34" i="12" l="1"/>
  <c r="C9" i="12"/>
  <c r="E26" i="13"/>
  <c r="E25" i="13"/>
  <c r="D31" i="8"/>
  <c r="C31" i="8"/>
  <c r="D10" i="12" s="1"/>
  <c r="D24" i="12"/>
  <c r="C24" i="12"/>
  <c r="A1" i="12"/>
  <c r="J10" i="12" l="1"/>
  <c r="C23" i="12"/>
  <c r="D27" i="12" s="1"/>
  <c r="M11" i="12"/>
  <c r="D23" i="12"/>
  <c r="I28" i="12" s="1"/>
  <c r="J11" i="12"/>
  <c r="K10" i="12"/>
  <c r="H10" i="12"/>
  <c r="L11" i="12"/>
  <c r="I11" i="12"/>
  <c r="I10" i="12"/>
  <c r="F10" i="12"/>
  <c r="M10" i="12"/>
  <c r="G10" i="12"/>
  <c r="H11" i="12"/>
  <c r="E10" i="12"/>
  <c r="G11" i="12"/>
  <c r="L10" i="12"/>
  <c r="K11" i="12"/>
  <c r="F11" i="12"/>
  <c r="C52" i="13"/>
  <c r="C51" i="13"/>
  <c r="C50" i="13"/>
  <c r="C49" i="13"/>
  <c r="C48" i="13"/>
  <c r="C53" i="13"/>
  <c r="D39" i="13"/>
  <c r="E36" i="13"/>
  <c r="C34" i="13"/>
  <c r="E38" i="13"/>
  <c r="C36" i="13"/>
  <c r="D35" i="13"/>
  <c r="C35" i="13"/>
  <c r="C39" i="13"/>
  <c r="D36" i="13"/>
  <c r="E35" i="13"/>
  <c r="C38" i="13"/>
  <c r="D37" i="13"/>
  <c r="E39" i="13"/>
  <c r="C37" i="13"/>
  <c r="D38" i="13"/>
  <c r="E37" i="13"/>
  <c r="E34" i="13"/>
  <c r="D34" i="13"/>
  <c r="D40" i="12" l="1"/>
  <c r="I27" i="12"/>
  <c r="I29" i="12" s="1"/>
  <c r="C10" i="12"/>
  <c r="G28" i="12"/>
  <c r="H28" i="12"/>
  <c r="F28" i="12"/>
  <c r="L28" i="12"/>
  <c r="M28" i="12"/>
  <c r="K28" i="12"/>
  <c r="J28" i="12"/>
  <c r="M27" i="12"/>
  <c r="G27" i="12"/>
  <c r="E27" i="12"/>
  <c r="K27" i="12"/>
  <c r="D28" i="12"/>
  <c r="D29" i="12" s="1"/>
  <c r="L27" i="12"/>
  <c r="H27" i="12"/>
  <c r="J27" i="12"/>
  <c r="F27" i="12"/>
  <c r="D11" i="12"/>
  <c r="D46" i="12" s="1"/>
  <c r="E11" i="12"/>
  <c r="C63" i="12" l="1"/>
  <c r="E28" i="12"/>
  <c r="E29" i="12" s="1"/>
  <c r="C27" i="12"/>
  <c r="C60" i="8" s="1"/>
  <c r="C11" i="12"/>
  <c r="G29" i="12"/>
  <c r="H29" i="12"/>
  <c r="F29" i="12"/>
  <c r="L29" i="12"/>
  <c r="K29" i="12"/>
  <c r="M29" i="12"/>
  <c r="J29" i="12"/>
  <c r="C28" i="12" l="1"/>
  <c r="D60" i="8" s="1"/>
  <c r="C29" i="12"/>
  <c r="C68" i="8" s="1"/>
  <c r="F10" i="10" l="1"/>
  <c r="F11" i="10" s="1"/>
  <c r="F12" i="10" s="1"/>
  <c r="F13" i="10" s="1"/>
  <c r="A1" i="10"/>
  <c r="A1" i="9"/>
  <c r="H63" i="8"/>
  <c r="G63" i="8"/>
  <c r="H44" i="8"/>
  <c r="E44" i="8"/>
  <c r="H43" i="8"/>
  <c r="E43" i="8"/>
  <c r="H42" i="8"/>
  <c r="E42" i="8"/>
  <c r="H41" i="8"/>
  <c r="E41" i="8"/>
  <c r="H40" i="8"/>
  <c r="E40" i="8"/>
  <c r="H39" i="8"/>
  <c r="E39" i="8"/>
  <c r="L25" i="8"/>
  <c r="M17" i="12" s="1"/>
  <c r="K25" i="8"/>
  <c r="L17" i="12" s="1"/>
  <c r="J25" i="8"/>
  <c r="K17" i="12" s="1"/>
  <c r="I25" i="8"/>
  <c r="J17" i="12" s="1"/>
  <c r="H25" i="8"/>
  <c r="I17" i="12" s="1"/>
  <c r="G25" i="8"/>
  <c r="H17" i="12" s="1"/>
  <c r="F25" i="8"/>
  <c r="G17" i="12" s="1"/>
  <c r="E25" i="8"/>
  <c r="F17" i="12" s="1"/>
  <c r="D25" i="8"/>
  <c r="E17" i="12" s="1"/>
  <c r="C25" i="8"/>
  <c r="D17" i="12" s="1"/>
  <c r="L19" i="8"/>
  <c r="M16" i="12" s="1"/>
  <c r="K19" i="8"/>
  <c r="L16" i="12" s="1"/>
  <c r="J19" i="8"/>
  <c r="K16" i="12" s="1"/>
  <c r="I19" i="8"/>
  <c r="J16" i="12" s="1"/>
  <c r="H19" i="8"/>
  <c r="I16" i="12" s="1"/>
  <c r="G19" i="8"/>
  <c r="H16" i="12" s="1"/>
  <c r="F19" i="8"/>
  <c r="G16" i="12" s="1"/>
  <c r="E19" i="8"/>
  <c r="F16" i="12" s="1"/>
  <c r="D19" i="8"/>
  <c r="E16" i="12" s="1"/>
  <c r="C19" i="8"/>
  <c r="D16" i="12" s="1"/>
  <c r="D18" i="12" s="1"/>
  <c r="A1" i="8"/>
  <c r="G58" i="8" l="1"/>
  <c r="H58" i="8"/>
  <c r="E40" i="13"/>
  <c r="D40" i="13"/>
  <c r="C54" i="13"/>
  <c r="C36" i="12" s="1"/>
  <c r="F18" i="12"/>
  <c r="K18" i="12"/>
  <c r="I18" i="12"/>
  <c r="J18" i="12"/>
  <c r="G18" i="12"/>
  <c r="C17" i="12"/>
  <c r="D61" i="8" s="1"/>
  <c r="H18" i="12"/>
  <c r="L18" i="12"/>
  <c r="C16" i="12"/>
  <c r="C61" i="8" s="1"/>
  <c r="E18" i="12"/>
  <c r="M18" i="12"/>
  <c r="C35" i="12"/>
  <c r="D41" i="12" s="1"/>
  <c r="H57" i="8"/>
  <c r="G57" i="8"/>
  <c r="G48" i="12" l="1"/>
  <c r="I48" i="12"/>
  <c r="F48" i="12"/>
  <c r="D42" i="12"/>
  <c r="D43" i="12" s="1"/>
  <c r="M42" i="12"/>
  <c r="K48" i="12"/>
  <c r="I42" i="12"/>
  <c r="J42" i="12"/>
  <c r="G42" i="12"/>
  <c r="H42" i="12"/>
  <c r="J48" i="12"/>
  <c r="L48" i="12"/>
  <c r="E42" i="12"/>
  <c r="K42" i="12"/>
  <c r="H48" i="12"/>
  <c r="F42" i="12"/>
  <c r="L42" i="12"/>
  <c r="M48" i="12"/>
  <c r="D48" i="12"/>
  <c r="E48" i="12"/>
  <c r="E52" i="12"/>
  <c r="H46" i="12"/>
  <c r="F40" i="12"/>
  <c r="L40" i="12"/>
  <c r="I46" i="12"/>
  <c r="K40" i="12"/>
  <c r="M46" i="12"/>
  <c r="G40" i="12"/>
  <c r="J46" i="12"/>
  <c r="M40" i="12"/>
  <c r="K46" i="12"/>
  <c r="I40" i="12"/>
  <c r="H40" i="12"/>
  <c r="E40" i="12"/>
  <c r="J40" i="12"/>
  <c r="L46" i="12"/>
  <c r="F46" i="12"/>
  <c r="G46" i="12"/>
  <c r="E46" i="12"/>
  <c r="K41" i="12"/>
  <c r="M41" i="12"/>
  <c r="G41" i="12"/>
  <c r="M47" i="12"/>
  <c r="I41" i="12"/>
  <c r="L41" i="12"/>
  <c r="H41" i="12"/>
  <c r="G47" i="12"/>
  <c r="E41" i="12"/>
  <c r="J41" i="12"/>
  <c r="F47" i="12"/>
  <c r="K47" i="12"/>
  <c r="J47" i="12"/>
  <c r="F41" i="12"/>
  <c r="I47" i="12"/>
  <c r="L47" i="12"/>
  <c r="H47" i="12"/>
  <c r="E47" i="12"/>
  <c r="D47" i="12"/>
  <c r="C70" i="12"/>
  <c r="C64" i="12"/>
  <c r="C78" i="8"/>
  <c r="J54" i="12"/>
  <c r="L54" i="12"/>
  <c r="K54" i="12"/>
  <c r="H54" i="12"/>
  <c r="M54" i="12"/>
  <c r="I54" i="12"/>
  <c r="F54" i="12"/>
  <c r="G54" i="12"/>
  <c r="D54" i="12"/>
  <c r="E54" i="12"/>
  <c r="M53" i="12"/>
  <c r="E53" i="12"/>
  <c r="G53" i="12"/>
  <c r="L53" i="12"/>
  <c r="K53" i="12"/>
  <c r="F53" i="12"/>
  <c r="J53" i="12"/>
  <c r="I53" i="12"/>
  <c r="H53" i="12"/>
  <c r="D53" i="12"/>
  <c r="C37" i="12"/>
  <c r="M52" i="12"/>
  <c r="I52" i="12"/>
  <c r="H52" i="12"/>
  <c r="F52" i="12"/>
  <c r="G52" i="12"/>
  <c r="K52" i="12"/>
  <c r="J52" i="12"/>
  <c r="L52" i="12"/>
  <c r="D52" i="12"/>
  <c r="C18" i="12"/>
  <c r="C71" i="12" l="1"/>
  <c r="C79" i="8" s="1"/>
  <c r="C72" i="12"/>
  <c r="D79" i="8" s="1"/>
  <c r="D78" i="8"/>
  <c r="C65" i="12"/>
  <c r="K49" i="12"/>
  <c r="F49" i="12"/>
  <c r="C71" i="8"/>
  <c r="C70" i="8"/>
  <c r="M43" i="12"/>
  <c r="C41" i="12"/>
  <c r="C58" i="8" s="1"/>
  <c r="D49" i="12"/>
  <c r="I43" i="12"/>
  <c r="L43" i="12"/>
  <c r="H49" i="12"/>
  <c r="E43" i="12"/>
  <c r="C40" i="12"/>
  <c r="C57" i="8" s="1"/>
  <c r="H43" i="12"/>
  <c r="J49" i="12"/>
  <c r="C42" i="12"/>
  <c r="C59" i="8" s="1"/>
  <c r="K43" i="12"/>
  <c r="E49" i="12"/>
  <c r="C46" i="12"/>
  <c r="D57" i="8" s="1"/>
  <c r="I49" i="12"/>
  <c r="F43" i="12"/>
  <c r="L49" i="12"/>
  <c r="G43" i="12"/>
  <c r="C48" i="12"/>
  <c r="D59" i="8" s="1"/>
  <c r="G49" i="12"/>
  <c r="C47" i="12"/>
  <c r="D58" i="8" s="1"/>
  <c r="J43" i="12"/>
  <c r="M49" i="12"/>
  <c r="M55" i="12"/>
  <c r="H55" i="12"/>
  <c r="I55" i="12"/>
  <c r="D55" i="12"/>
  <c r="E55" i="12"/>
  <c r="J55" i="12"/>
  <c r="L55" i="12"/>
  <c r="K55" i="12"/>
  <c r="G55" i="12"/>
  <c r="C54" i="12"/>
  <c r="C67" i="8" s="1"/>
  <c r="F55" i="12"/>
  <c r="C52" i="12"/>
  <c r="C65" i="8" s="1"/>
  <c r="C53" i="12"/>
  <c r="C66" i="8" s="1"/>
  <c r="D62" i="8" l="1"/>
  <c r="C62" i="8"/>
  <c r="C43" i="12"/>
  <c r="C49" i="12"/>
  <c r="E78" i="8"/>
  <c r="C73" i="12"/>
  <c r="C69" i="8"/>
  <c r="C72" i="8" s="1"/>
  <c r="C55" i="12"/>
  <c r="E79" i="8" l="1"/>
  <c r="C73" i="8"/>
</calcChain>
</file>

<file path=xl/sharedStrings.xml><?xml version="1.0" encoding="utf-8"?>
<sst xmlns="http://schemas.openxmlformats.org/spreadsheetml/2006/main" count="369" uniqueCount="220">
  <si>
    <t>Insert description</t>
  </si>
  <si>
    <t>Description</t>
  </si>
  <si>
    <t>Author</t>
  </si>
  <si>
    <t>Version</t>
  </si>
  <si>
    <t>Austroads</t>
  </si>
  <si>
    <t>User inputs</t>
  </si>
  <si>
    <t>Discount rate</t>
  </si>
  <si>
    <t>Active scenario</t>
  </si>
  <si>
    <t>AADT</t>
  </si>
  <si>
    <t>Average crash rates</t>
  </si>
  <si>
    <t>Crash rate at intersection per vehicle</t>
  </si>
  <si>
    <t>Increase in crash rate</t>
  </si>
  <si>
    <t>Traffic lights</t>
  </si>
  <si>
    <t>Austroads, Effectiveness of road safety engineering treatments, November 2012, p 6; based on the crash reduction rate for installing traffic signals.</t>
  </si>
  <si>
    <t>Base case</t>
  </si>
  <si>
    <t>Project case</t>
  </si>
  <si>
    <t>Safety benefits</t>
  </si>
  <si>
    <t>Travel time savings</t>
  </si>
  <si>
    <t>NPV</t>
  </si>
  <si>
    <t>BCR</t>
  </si>
  <si>
    <t>Overview of asset and investment</t>
  </si>
  <si>
    <t>Asset type</t>
  </si>
  <si>
    <t>Opex</t>
  </si>
  <si>
    <t>Region</t>
  </si>
  <si>
    <t>Rural</t>
  </si>
  <si>
    <t>Base case costs</t>
  </si>
  <si>
    <t>Ongoing maintenance</t>
  </si>
  <si>
    <t>Periodic upgrades</t>
  </si>
  <si>
    <t>Upfront investment</t>
  </si>
  <si>
    <t>Total</t>
  </si>
  <si>
    <t>Project case costs</t>
  </si>
  <si>
    <t>Template for traffic lights and signs</t>
  </si>
  <si>
    <t>Likelihood</t>
  </si>
  <si>
    <t>Light vehicles</t>
  </si>
  <si>
    <t>2 axle rigids</t>
  </si>
  <si>
    <t>3 axle rigids</t>
  </si>
  <si>
    <t>Buses</t>
  </si>
  <si>
    <t>Articulated trucks</t>
  </si>
  <si>
    <t>Combination vehicles</t>
  </si>
  <si>
    <t>Risk assessment</t>
  </si>
  <si>
    <t>Risk description</t>
  </si>
  <si>
    <t>Without investment</t>
  </si>
  <si>
    <t>With investment</t>
  </si>
  <si>
    <t>Consequence</t>
  </si>
  <si>
    <t>Score</t>
  </si>
  <si>
    <t>Safety</t>
  </si>
  <si>
    <t>Mobility</t>
  </si>
  <si>
    <t>Almost certain</t>
  </si>
  <si>
    <t>Serious</t>
  </si>
  <si>
    <t>Rare</t>
  </si>
  <si>
    <t>Negligible</t>
  </si>
  <si>
    <t>Asset/environment</t>
  </si>
  <si>
    <t>Financial costs</t>
  </si>
  <si>
    <t>Reputational</t>
  </si>
  <si>
    <t>Other</t>
  </si>
  <si>
    <t>Asset condition</t>
  </si>
  <si>
    <t>Poor</t>
  </si>
  <si>
    <t>Good</t>
  </si>
  <si>
    <t>Outputs</t>
  </si>
  <si>
    <t>Economic metrics</t>
  </si>
  <si>
    <t>Total benefits</t>
  </si>
  <si>
    <t>Costs</t>
  </si>
  <si>
    <t>Total costs</t>
  </si>
  <si>
    <t>Performance outcomes</t>
  </si>
  <si>
    <t>Fatalities avoided</t>
  </si>
  <si>
    <t>Hours saved</t>
  </si>
  <si>
    <t>High level assumptions</t>
  </si>
  <si>
    <t>Traffic growth</t>
  </si>
  <si>
    <t>ABS CPI</t>
  </si>
  <si>
    <t>Date</t>
  </si>
  <si>
    <t>index</t>
  </si>
  <si>
    <t>Notes</t>
  </si>
  <si>
    <t>ABS CPI, All groups CPI excluding 'volatile items' ;  Australia, series ID: A2330841L</t>
  </si>
  <si>
    <t>Vehicle characteristics</t>
  </si>
  <si>
    <t>Urban</t>
  </si>
  <si>
    <t>Source</t>
  </si>
  <si>
    <t xml:space="preserve">TfNSW, Economic Parameter Values, June 2020, available at </t>
  </si>
  <si>
    <t>https://www.transport.nsw.gov.au/projects/project-delivery-requirements/evaluation-and-assurance/technical-guidance</t>
  </si>
  <si>
    <t xml:space="preserve">We have assumed that 2 axle rigids matches to medium rigids, </t>
  </si>
  <si>
    <t>3 axle rigids matches to heavy vehicles.</t>
  </si>
  <si>
    <t>Value of time and occupancy rate</t>
  </si>
  <si>
    <t>Source: ATAP, PV2 Road Parameter Values, August 2016, p19</t>
  </si>
  <si>
    <t>https://www.atap.gov.au/sites/default/files/pv2_road_parameter_values.pdf</t>
  </si>
  <si>
    <t>Value of time is calculated as occupancy rate x value of time of occupant.</t>
  </si>
  <si>
    <t xml:space="preserve">Value of freight is also included for freight vehicles. </t>
  </si>
  <si>
    <t>Value of time for buses varies for the driver and passengers</t>
  </si>
  <si>
    <t>Values have been inflated to June 2020</t>
  </si>
  <si>
    <t>$ per hour</t>
  </si>
  <si>
    <t xml:space="preserve">Costs for private cars have been used </t>
  </si>
  <si>
    <t>Costs for medium rigid have been used</t>
  </si>
  <si>
    <t>Costs for heavy rigid have been used</t>
  </si>
  <si>
    <t>Costs for heavy buses have been used</t>
  </si>
  <si>
    <t>Costs for 6 axle articulated trucks have been used</t>
  </si>
  <si>
    <t>Costs for B-doubles have been used</t>
  </si>
  <si>
    <t>Same assumptions as table above</t>
  </si>
  <si>
    <t>Lists</t>
  </si>
  <si>
    <t>User interface</t>
  </si>
  <si>
    <t>Expenditure categories</t>
  </si>
  <si>
    <t>Asset class</t>
  </si>
  <si>
    <t>Years</t>
  </si>
  <si>
    <t>Pavements</t>
  </si>
  <si>
    <t>Excellent</t>
  </si>
  <si>
    <t>Capex</t>
  </si>
  <si>
    <t>Structures</t>
  </si>
  <si>
    <t>Traffic facility</t>
  </si>
  <si>
    <t>Fair</t>
  </si>
  <si>
    <t>Failed</t>
  </si>
  <si>
    <t>Consequence/likelihood</t>
  </si>
  <si>
    <t>Marginal</t>
  </si>
  <si>
    <t>Critical</t>
  </si>
  <si>
    <t>Catastrophic</t>
  </si>
  <si>
    <t>Unlikely</t>
  </si>
  <si>
    <t>Possible</t>
  </si>
  <si>
    <t>Likely</t>
  </si>
  <si>
    <t>Likely outage with and without investment</t>
  </si>
  <si>
    <t>Duration of outage (hours)</t>
  </si>
  <si>
    <t>Outages per year per asset</t>
  </si>
  <si>
    <t>Repair cost per outage</t>
  </si>
  <si>
    <t>Traffic signs</t>
  </si>
  <si>
    <t>Austroads, Effectiveness of road safety engineering treatments, November 2012, p 6; based on the average crash reduction factor for each of single and four-way stop signs at T and X intersections, give-way signs and U-turn/right-turn ban signs.</t>
  </si>
  <si>
    <t>Total outages</t>
  </si>
  <si>
    <t>Repair costs per outage</t>
  </si>
  <si>
    <t>Benefit start year</t>
  </si>
  <si>
    <t>Repair costs</t>
  </si>
  <si>
    <t>Difference</t>
  </si>
  <si>
    <t>Road authority costs</t>
  </si>
  <si>
    <t>Safety cost assumptions</t>
  </si>
  <si>
    <t>Average</t>
  </si>
  <si>
    <t>Number of serious injuries/fatalities per crash</t>
  </si>
  <si>
    <t xml:space="preserve">Source: TfNSW, Economic Parameter values, </t>
  </si>
  <si>
    <t>June 2020, table 31</t>
  </si>
  <si>
    <t>No. of serious injuries per serious injury crash</t>
  </si>
  <si>
    <t>No. of fatalities per fatal crash</t>
  </si>
  <si>
    <t>Fatal crashes</t>
  </si>
  <si>
    <t>Vehicle type</t>
  </si>
  <si>
    <t>Serious injuries crashes</t>
  </si>
  <si>
    <t>Other injury crashes</t>
  </si>
  <si>
    <t>Calculated in the bridge template</t>
  </si>
  <si>
    <t>Crash rate below sourced from Austroads,  Road safety engineering risk assessment: part 7: crash rates database, 2010, p 12.</t>
  </si>
  <si>
    <t>Crash rate per VKT per km</t>
  </si>
  <si>
    <t>Area of travel</t>
  </si>
  <si>
    <t xml:space="preserve">Source: ABS, Survey of motor vehicle use, 21 Dec 2020. Table 7 </t>
  </si>
  <si>
    <t>Capital city</t>
  </si>
  <si>
    <t>Other urban areas</t>
  </si>
  <si>
    <t>Other areas</t>
  </si>
  <si>
    <t>interstate</t>
  </si>
  <si>
    <t>Year ending 30 June 2020</t>
  </si>
  <si>
    <t>VKT, million</t>
  </si>
  <si>
    <t>All</t>
  </si>
  <si>
    <t>Crash risk - 1 km travelled compared with entering into an intersection</t>
  </si>
  <si>
    <t>Crash rate per billion vkt</t>
  </si>
  <si>
    <t>Crash rate per billion vehicles entering intersection</t>
  </si>
  <si>
    <t>Crash cost per vkt (June 2020)</t>
  </si>
  <si>
    <t>$ per vkt (June 2020)</t>
  </si>
  <si>
    <t>Yearly vehicles entering intersection</t>
  </si>
  <si>
    <t>Average AADT per intersection</t>
  </si>
  <si>
    <t>Other benefits</t>
  </si>
  <si>
    <t>Occupancy rate</t>
  </si>
  <si>
    <t>Increase in travel time</t>
  </si>
  <si>
    <t>mins per vehicle</t>
  </si>
  <si>
    <t>We have assumed that signs do not have travel time implications</t>
  </si>
  <si>
    <t>Increase in VOC</t>
  </si>
  <si>
    <t>We have assumed that signs do not have VOC implications</t>
  </si>
  <si>
    <t>Increase in stops per vehicle</t>
  </si>
  <si>
    <t>Assume that when traffic lights are not working, then stops per vehicle increases by 1 per vehicle</t>
  </si>
  <si>
    <t>Vehicle</t>
  </si>
  <si>
    <t>VOC/stop (excl. fuel) (cents)</t>
  </si>
  <si>
    <t>Fuel consumption per stop (L)</t>
  </si>
  <si>
    <t>Fuel cost (cents/L)</t>
  </si>
  <si>
    <t>Car</t>
  </si>
  <si>
    <t>Light truck</t>
  </si>
  <si>
    <t>Heavy truck</t>
  </si>
  <si>
    <t>VOC per stop</t>
  </si>
  <si>
    <t>Source: TfNSW, Economic Parameter Values, June 2020, table 15</t>
  </si>
  <si>
    <t>Benefit assumptions</t>
  </si>
  <si>
    <t>Detailed assumptions</t>
  </si>
  <si>
    <t>VOC savings</t>
  </si>
  <si>
    <t>Cost benefit analysis</t>
  </si>
  <si>
    <t>VOC/stop (incl. fuel) (cents) (June 2019)</t>
  </si>
  <si>
    <t>VOC/stop (incl. fuel) (cents) (June 2020)</t>
  </si>
  <si>
    <t>Assume that level of service is c (20-35 sec delays per veh) when traffic lights are working and f (&gt;80 sec delays) when not. Source: Highway capacity manual</t>
  </si>
  <si>
    <t>Crossings during outage - base case</t>
  </si>
  <si>
    <t>Crossing during outage - project case</t>
  </si>
  <si>
    <t>No. of assets upgraded/replaced</t>
  </si>
  <si>
    <t>Number of outages</t>
  </si>
  <si>
    <t>Fatalities avoided - present value</t>
  </si>
  <si>
    <t>Fatalities (per billion crossings)</t>
  </si>
  <si>
    <t>hours saved - present value</t>
  </si>
  <si>
    <t>Crash cost per vehicles entering intersection</t>
  </si>
  <si>
    <t>Increase in fatalities during outage - base case</t>
  </si>
  <si>
    <t>Increase in fatalities during outage - project case</t>
  </si>
  <si>
    <t>Inrecrease in hours travelled per vehicle during outage</t>
  </si>
  <si>
    <t>Increae in hours traveled - base case</t>
  </si>
  <si>
    <t>Increae in hours traveled - prorject case</t>
  </si>
  <si>
    <t>Weighting</t>
  </si>
  <si>
    <t>Risk assessment outcomes</t>
  </si>
  <si>
    <t>Highest risk</t>
  </si>
  <si>
    <t xml:space="preserve">Weighted average </t>
  </si>
  <si>
    <t>Condition assessment outcomes</t>
  </si>
  <si>
    <t>Travel time costs</t>
  </si>
  <si>
    <t>VOC</t>
  </si>
  <si>
    <t>Safety costs</t>
  </si>
  <si>
    <t>Travel time benefits</t>
  </si>
  <si>
    <t>Repair cost savings</t>
  </si>
  <si>
    <t>Vehicle operatin costs</t>
  </si>
  <si>
    <t>Incremental cost per crossing during outage</t>
  </si>
  <si>
    <t>Travel time</t>
  </si>
  <si>
    <t>Vehicle operating cost</t>
  </si>
  <si>
    <t>Crash cost</t>
  </si>
  <si>
    <t>Publication date</t>
  </si>
  <si>
    <t>Publisher</t>
  </si>
  <si>
    <t>Title</t>
  </si>
  <si>
    <t>Supporting documents</t>
  </si>
  <si>
    <t>Investment Prioritisation Templates User Guide</t>
  </si>
  <si>
    <t>A Holistic Investment Prioritisation Framework for Road Assets</t>
  </si>
  <si>
    <t>Copyright</t>
  </si>
  <si>
    <t>Investment prioritisation template: Traffic lights and signs</t>
  </si>
  <si>
    <t>Martin Chow, HoustonKemp Economists</t>
  </si>
  <si>
    <t>June 2021</t>
  </si>
  <si>
    <t xml:space="preserve">© Austroads 2021 | This work is copyright. Apart from any use as permitted under the Copyright Act 1968, no part may be reproduced by any process without the prior written permission of Austroads. This material is for personal use only, it is not to be used for commercial training purposes.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</si>
</sst>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Red]\-&quot;$&quot;#,##0.0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 ;\-#,##0\ "/>
    <numFmt numFmtId="169" formatCode="0.0000000%"/>
    <numFmt numFmtId="170" formatCode="0.0"/>
    <numFmt numFmtId="171" formatCode="0.00000000%"/>
    <numFmt numFmtId="172" formatCode="0.000"/>
    <numFmt numFmtId="173" formatCode="0.00000"/>
  </numFmts>
  <fonts count="34" x14ac:knownFonts="1">
    <font>
      <sz val="12"/>
      <color theme="1"/>
      <name val="Arial"/>
      <family val="2"/>
    </font>
    <font>
      <sz val="11"/>
      <color theme="1"/>
      <name val="Calibri"/>
      <family val="2"/>
      <scheme val="minor"/>
    </font>
    <font>
      <sz val="11"/>
      <color theme="1"/>
      <name val="Arial"/>
      <family val="2"/>
    </font>
    <font>
      <b/>
      <sz val="11"/>
      <name val="Arial"/>
      <family val="2"/>
    </font>
    <font>
      <b/>
      <sz val="24"/>
      <color theme="1"/>
      <name val="Calibri"/>
      <family val="2"/>
      <scheme val="minor"/>
    </font>
    <font>
      <b/>
      <sz val="14"/>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b/>
      <sz val="16"/>
      <color theme="0"/>
      <name val="Calibri"/>
      <family val="2"/>
      <scheme val="minor"/>
    </font>
    <font>
      <b/>
      <sz val="12"/>
      <color theme="0"/>
      <name val="Arial"/>
      <family val="2"/>
    </font>
    <font>
      <b/>
      <sz val="16"/>
      <color theme="0"/>
      <name val="Arial"/>
      <family val="2"/>
    </font>
    <font>
      <sz val="11"/>
      <color theme="0"/>
      <name val="Arial"/>
      <family val="2"/>
    </font>
    <font>
      <b/>
      <sz val="12"/>
      <color theme="1"/>
      <name val="Arial"/>
      <family val="2"/>
    </font>
    <font>
      <u/>
      <sz val="12"/>
      <color theme="10"/>
      <name val="Arial"/>
      <family val="2"/>
    </font>
    <font>
      <sz val="10"/>
      <name val="Arial"/>
      <family val="2"/>
    </font>
    <font>
      <u/>
      <sz val="11"/>
      <color theme="10"/>
      <name val="Calibri"/>
      <family val="2"/>
      <scheme val="minor"/>
    </font>
    <font>
      <b/>
      <sz val="12"/>
      <name val="Arial"/>
      <family val="2"/>
    </font>
  </fonts>
  <fills count="46">
    <fill>
      <patternFill patternType="none"/>
    </fill>
    <fill>
      <patternFill patternType="gray125"/>
    </fill>
    <fill>
      <patternFill patternType="solid">
        <fgColor theme="0"/>
        <bgColor theme="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008698"/>
        <bgColor indexed="64"/>
      </patternFill>
    </fill>
    <fill>
      <patternFill patternType="solid">
        <fgColor rgb="FF696A6D"/>
        <bgColor indexed="64"/>
      </patternFill>
    </fill>
    <fill>
      <patternFill patternType="solid">
        <fgColor rgb="FF262D33"/>
        <bgColor indexed="64"/>
      </patternFill>
    </fill>
    <fill>
      <patternFill patternType="solid">
        <fgColor rgb="FFE0D4A4"/>
        <bgColor indexed="64"/>
      </patternFill>
    </fill>
    <fill>
      <patternFill patternType="solid">
        <fgColor rgb="FF9EC0DB"/>
        <bgColor indexed="64"/>
      </patternFill>
    </fill>
    <fill>
      <patternFill patternType="solid">
        <fgColor rgb="FFF6C1D1"/>
        <bgColor indexed="64"/>
      </patternFill>
    </fill>
    <fill>
      <patternFill patternType="solid">
        <fgColor rgb="FF9ECCA6"/>
        <bgColor indexed="64"/>
      </patternFill>
    </fill>
    <fill>
      <patternFill patternType="solid">
        <fgColor rgb="FF01374F"/>
        <bgColor theme="0"/>
      </patternFill>
    </fill>
    <fill>
      <patternFill patternType="solid">
        <fgColor rgb="FF01374F"/>
        <bgColor indexed="64"/>
      </patternFill>
    </fill>
    <fill>
      <patternFill patternType="solid">
        <fgColor theme="2"/>
        <bgColor theme="0"/>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0">
    <xf numFmtId="0" fontId="0" fillId="0" borderId="0"/>
    <xf numFmtId="0" fontId="25" fillId="35" borderId="0"/>
    <xf numFmtId="167"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13" applyNumberFormat="0" applyFill="0" applyAlignment="0" applyProtection="0"/>
    <xf numFmtId="0" fontId="9" fillId="0" borderId="14" applyNumberFormat="0" applyFill="0" applyAlignment="0" applyProtection="0"/>
    <xf numFmtId="0" fontId="10" fillId="0" borderId="15"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6" applyNumberFormat="0" applyAlignment="0" applyProtection="0"/>
    <xf numFmtId="0" fontId="15" fillId="7" borderId="17" applyNumberFormat="0" applyAlignment="0" applyProtection="0"/>
    <xf numFmtId="0" fontId="16" fillId="7" borderId="16" applyNumberFormat="0" applyAlignment="0" applyProtection="0"/>
    <xf numFmtId="0" fontId="17" fillId="0" borderId="18" applyNumberFormat="0" applyFill="0" applyAlignment="0" applyProtection="0"/>
    <xf numFmtId="0" fontId="18" fillId="8" borderId="19" applyNumberFormat="0" applyAlignment="0" applyProtection="0"/>
    <xf numFmtId="0" fontId="19" fillId="0" borderId="0" applyNumberFormat="0" applyFill="0" applyBorder="0" applyAlignment="0" applyProtection="0"/>
    <xf numFmtId="0" fontId="6" fillId="9" borderId="20" applyNumberFormat="0" applyFont="0" applyAlignment="0" applyProtection="0"/>
    <xf numFmtId="0" fontId="20" fillId="0" borderId="0" applyNumberFormat="0" applyFill="0" applyBorder="0" applyAlignment="0" applyProtection="0"/>
    <xf numFmtId="0" fontId="21" fillId="0" borderId="21"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2" fillId="33" borderId="0" applyNumberFormat="0" applyBorder="0" applyAlignment="0" applyProtection="0"/>
    <xf numFmtId="0" fontId="26" fillId="37" borderId="0"/>
    <xf numFmtId="0" fontId="26" fillId="36" borderId="0"/>
    <xf numFmtId="0" fontId="23" fillId="34" borderId="0"/>
    <xf numFmtId="2" fontId="23" fillId="38" borderId="0"/>
    <xf numFmtId="2" fontId="23" fillId="39" borderId="0"/>
    <xf numFmtId="2" fontId="23" fillId="40" borderId="0"/>
    <xf numFmtId="2" fontId="23" fillId="41" borderId="0"/>
    <xf numFmtId="0" fontId="30" fillId="0" borderId="0" applyNumberFormat="0" applyFill="0" applyBorder="0" applyAlignment="0" applyProtection="0"/>
    <xf numFmtId="0" fontId="31" fillId="0" borderId="0"/>
    <xf numFmtId="0" fontId="1" fillId="0" borderId="0"/>
    <xf numFmtId="0" fontId="32" fillId="0" borderId="0" applyNumberFormat="0" applyFill="0" applyBorder="0" applyAlignment="0" applyProtection="0"/>
    <xf numFmtId="0" fontId="1" fillId="0" borderId="0"/>
  </cellStyleXfs>
  <cellXfs count="110">
    <xf numFmtId="0" fontId="0" fillId="0" borderId="0" xfId="0"/>
    <xf numFmtId="0" fontId="2" fillId="0" borderId="0" xfId="0" applyFont="1"/>
    <xf numFmtId="0" fontId="5" fillId="0" borderId="1" xfId="0" applyFont="1" applyBorder="1"/>
    <xf numFmtId="0" fontId="23" fillId="34" borderId="0" xfId="50"/>
    <xf numFmtId="2" fontId="23" fillId="39" borderId="0" xfId="52"/>
    <xf numFmtId="0" fontId="0" fillId="0" borderId="1" xfId="0" applyBorder="1"/>
    <xf numFmtId="2" fontId="23" fillId="40" borderId="0" xfId="53"/>
    <xf numFmtId="0" fontId="25" fillId="35" borderId="0" xfId="1"/>
    <xf numFmtId="0" fontId="26" fillId="36" borderId="0" xfId="49"/>
    <xf numFmtId="10" fontId="23" fillId="40" borderId="0" xfId="53" applyNumberFormat="1"/>
    <xf numFmtId="0" fontId="0" fillId="0" borderId="6" xfId="0" applyBorder="1"/>
    <xf numFmtId="168" fontId="23" fillId="40" borderId="0" xfId="53" applyNumberFormat="1"/>
    <xf numFmtId="168" fontId="23" fillId="39" borderId="0" xfId="52" applyNumberFormat="1"/>
    <xf numFmtId="168" fontId="23" fillId="38" borderId="0" xfId="51" applyNumberFormat="1"/>
    <xf numFmtId="0" fontId="26" fillId="37" borderId="0" xfId="48"/>
    <xf numFmtId="168" fontId="23" fillId="39" borderId="6" xfId="52" applyNumberFormat="1" applyBorder="1"/>
    <xf numFmtId="2" fontId="23" fillId="38" borderId="0" xfId="51" applyAlignment="1">
      <alignment horizontal="center"/>
    </xf>
    <xf numFmtId="168" fontId="23" fillId="38" borderId="0" xfId="51" applyNumberFormat="1" applyAlignment="1">
      <alignment horizontal="center"/>
    </xf>
    <xf numFmtId="0" fontId="27" fillId="35" borderId="0" xfId="1" applyFont="1"/>
    <xf numFmtId="2" fontId="23" fillId="38" borderId="0" xfId="51"/>
    <xf numFmtId="0" fontId="28" fillId="37" borderId="0" xfId="0" applyFont="1" applyFill="1"/>
    <xf numFmtId="0" fontId="26" fillId="37" borderId="0" xfId="0" applyFont="1" applyFill="1"/>
    <xf numFmtId="9" fontId="23" fillId="38" borderId="0" xfId="51" applyNumberFormat="1"/>
    <xf numFmtId="0" fontId="26" fillId="36" borderId="0" xfId="49" applyAlignment="1">
      <alignment wrapText="1"/>
    </xf>
    <xf numFmtId="168" fontId="23" fillId="41" borderId="0" xfId="54" applyNumberFormat="1"/>
    <xf numFmtId="0" fontId="23" fillId="34" borderId="0" xfId="50" quotePrefix="1"/>
    <xf numFmtId="0" fontId="29" fillId="34" borderId="0" xfId="50" applyFont="1"/>
    <xf numFmtId="168" fontId="29" fillId="41" borderId="0" xfId="54" applyNumberFormat="1" applyFont="1"/>
    <xf numFmtId="2" fontId="29" fillId="41" borderId="0" xfId="54" applyFont="1"/>
    <xf numFmtId="17" fontId="23" fillId="34" borderId="0" xfId="50" applyNumberFormat="1"/>
    <xf numFmtId="9" fontId="23" fillId="39" borderId="0" xfId="52" applyNumberFormat="1"/>
    <xf numFmtId="0" fontId="0" fillId="0" borderId="5" xfId="0" applyBorder="1"/>
    <xf numFmtId="0" fontId="0" fillId="0" borderId="22" xfId="0" applyBorder="1"/>
    <xf numFmtId="0" fontId="30" fillId="0" borderId="7" xfId="55" applyBorder="1"/>
    <xf numFmtId="0" fontId="0" fillId="0" borderId="23" xfId="0" applyBorder="1"/>
    <xf numFmtId="0" fontId="0" fillId="0" borderId="7" xfId="0" applyBorder="1"/>
    <xf numFmtId="0" fontId="0" fillId="0" borderId="8" xfId="0" applyBorder="1"/>
    <xf numFmtId="0" fontId="0" fillId="0" borderId="9" xfId="0" applyBorder="1"/>
    <xf numFmtId="0" fontId="0" fillId="0" borderId="24" xfId="0" applyBorder="1"/>
    <xf numFmtId="170" fontId="23" fillId="38" borderId="0" xfId="51" applyNumberFormat="1"/>
    <xf numFmtId="168" fontId="23" fillId="39" borderId="1" xfId="52" applyNumberFormat="1" applyBorder="1"/>
    <xf numFmtId="1" fontId="23" fillId="38" borderId="0" xfId="51" applyNumberFormat="1" applyAlignment="1">
      <alignment horizontal="center" vertical="center"/>
    </xf>
    <xf numFmtId="168" fontId="23" fillId="39" borderId="10" xfId="52" applyNumberFormat="1" applyBorder="1"/>
    <xf numFmtId="168" fontId="23" fillId="39" borderId="11" xfId="52" applyNumberFormat="1" applyBorder="1"/>
    <xf numFmtId="168" fontId="23" fillId="39" borderId="12" xfId="52" applyNumberFormat="1" applyBorder="1"/>
    <xf numFmtId="168" fontId="23" fillId="39" borderId="2" xfId="52" applyNumberFormat="1" applyBorder="1"/>
    <xf numFmtId="168" fontId="23" fillId="39" borderId="3" xfId="52" applyNumberFormat="1" applyBorder="1"/>
    <xf numFmtId="168" fontId="23" fillId="39" borderId="4" xfId="52" applyNumberFormat="1" applyBorder="1"/>
    <xf numFmtId="0" fontId="26" fillId="36" borderId="5" xfId="49" applyBorder="1"/>
    <xf numFmtId="0" fontId="26" fillId="36" borderId="22" xfId="49" applyBorder="1"/>
    <xf numFmtId="0" fontId="23" fillId="34" borderId="0" xfId="50" applyAlignment="1">
      <alignment wrapText="1"/>
    </xf>
    <xf numFmtId="2" fontId="23" fillId="39" borderId="1" xfId="52" applyBorder="1"/>
    <xf numFmtId="8" fontId="23" fillId="39" borderId="0" xfId="52" applyNumberFormat="1"/>
    <xf numFmtId="0" fontId="0" fillId="0" borderId="10" xfId="0" applyBorder="1"/>
    <xf numFmtId="0" fontId="0" fillId="0" borderId="12" xfId="0" applyBorder="1"/>
    <xf numFmtId="0" fontId="26" fillId="36" borderId="6" xfId="49" applyBorder="1"/>
    <xf numFmtId="171" fontId="23" fillId="38" borderId="0" xfId="51" applyNumberFormat="1"/>
    <xf numFmtId="0" fontId="2" fillId="0" borderId="7" xfId="0" applyFont="1" applyBorder="1"/>
    <xf numFmtId="0" fontId="2" fillId="0" borderId="0" xfId="0" applyFont="1" applyBorder="1"/>
    <xf numFmtId="0" fontId="2" fillId="0" borderId="23" xfId="0" applyFont="1" applyBorder="1"/>
    <xf numFmtId="0" fontId="2" fillId="0" borderId="8" xfId="0" applyFont="1" applyBorder="1"/>
    <xf numFmtId="0" fontId="2" fillId="0" borderId="9" xfId="0" applyFont="1" applyBorder="1"/>
    <xf numFmtId="0" fontId="2" fillId="0" borderId="24" xfId="0" applyFont="1" applyBorder="1"/>
    <xf numFmtId="169" fontId="23" fillId="39" borderId="0" xfId="52" applyNumberFormat="1"/>
    <xf numFmtId="168" fontId="23" fillId="39" borderId="0" xfId="52" applyNumberFormat="1" applyBorder="1"/>
    <xf numFmtId="8" fontId="23" fillId="39" borderId="1" xfId="52" applyNumberFormat="1" applyBorder="1"/>
    <xf numFmtId="0" fontId="1" fillId="0" borderId="0" xfId="57"/>
    <xf numFmtId="2" fontId="23" fillId="39" borderId="0" xfId="52" applyBorder="1"/>
    <xf numFmtId="168" fontId="23" fillId="39" borderId="5" xfId="52" applyNumberFormat="1" applyBorder="1"/>
    <xf numFmtId="168" fontId="23" fillId="39" borderId="22" xfId="52" applyNumberFormat="1" applyBorder="1"/>
    <xf numFmtId="168" fontId="23" fillId="39" borderId="7" xfId="52" applyNumberFormat="1" applyBorder="1"/>
    <xf numFmtId="168" fontId="23" fillId="39" borderId="23" xfId="52" applyNumberFormat="1" applyBorder="1"/>
    <xf numFmtId="168" fontId="23" fillId="39" borderId="8" xfId="52" applyNumberFormat="1" applyBorder="1"/>
    <xf numFmtId="168" fontId="23" fillId="39" borderId="9" xfId="52" applyNumberFormat="1" applyBorder="1"/>
    <xf numFmtId="168" fontId="23" fillId="39" borderId="24" xfId="52" applyNumberFormat="1" applyBorder="1"/>
    <xf numFmtId="8" fontId="23" fillId="38" borderId="0" xfId="51" applyNumberFormat="1"/>
    <xf numFmtId="2" fontId="23" fillId="39" borderId="2" xfId="52" applyBorder="1"/>
    <xf numFmtId="2" fontId="23" fillId="39" borderId="3" xfId="52" applyBorder="1"/>
    <xf numFmtId="2" fontId="23" fillId="39" borderId="4" xfId="52" applyBorder="1"/>
    <xf numFmtId="2" fontId="23" fillId="39" borderId="10" xfId="52" applyBorder="1"/>
    <xf numFmtId="2" fontId="23" fillId="39" borderId="11" xfId="52" applyBorder="1"/>
    <xf numFmtId="2" fontId="23" fillId="39" borderId="12" xfId="52" applyBorder="1"/>
    <xf numFmtId="173" fontId="23" fillId="39" borderId="0" xfId="52" applyNumberFormat="1"/>
    <xf numFmtId="173" fontId="23" fillId="39" borderId="1" xfId="52" applyNumberFormat="1" applyBorder="1"/>
    <xf numFmtId="168" fontId="2" fillId="0" borderId="0" xfId="0" applyNumberFormat="1" applyFont="1"/>
    <xf numFmtId="2" fontId="23" fillId="39" borderId="5" xfId="52" applyBorder="1"/>
    <xf numFmtId="2" fontId="23" fillId="39" borderId="6" xfId="52" applyBorder="1"/>
    <xf numFmtId="2" fontId="23" fillId="39" borderId="22" xfId="52" applyBorder="1"/>
    <xf numFmtId="2" fontId="23" fillId="39" borderId="7" xfId="52" applyBorder="1"/>
    <xf numFmtId="2" fontId="23" fillId="39" borderId="23" xfId="52" applyBorder="1"/>
    <xf numFmtId="2" fontId="23" fillId="39" borderId="8" xfId="52" applyBorder="1"/>
    <xf numFmtId="2" fontId="23" fillId="39" borderId="9" xfId="52" applyBorder="1"/>
    <xf numFmtId="2" fontId="23" fillId="39" borderId="24" xfId="52" applyBorder="1"/>
    <xf numFmtId="173" fontId="23" fillId="41" borderId="0" xfId="54" applyNumberFormat="1"/>
    <xf numFmtId="172" fontId="23" fillId="39" borderId="1" xfId="52" applyNumberFormat="1" applyBorder="1"/>
    <xf numFmtId="0" fontId="4" fillId="0" borderId="0" xfId="0" applyFont="1" applyBorder="1" applyAlignment="1">
      <alignment vertical="center"/>
    </xf>
    <xf numFmtId="0" fontId="3" fillId="2" borderId="0" xfId="0" applyFont="1" applyFill="1" applyBorder="1" applyAlignment="1">
      <alignment horizontal="center" vertical="center" wrapText="1"/>
    </xf>
    <xf numFmtId="0" fontId="2" fillId="2" borderId="0" xfId="0" applyFont="1" applyFill="1" applyBorder="1"/>
    <xf numFmtId="0" fontId="26" fillId="42" borderId="0" xfId="0" applyFont="1" applyFill="1" applyAlignment="1">
      <alignment horizontal="left" vertical="center" indent="1"/>
    </xf>
    <xf numFmtId="0" fontId="26" fillId="43" borderId="0" xfId="0" applyFont="1" applyFill="1" applyAlignment="1">
      <alignment horizontal="left" vertical="center" indent="1"/>
    </xf>
    <xf numFmtId="0" fontId="2" fillId="43" borderId="0" xfId="0" applyFont="1" applyFill="1" applyAlignment="1">
      <alignment horizontal="left" vertical="center" indent="1"/>
    </xf>
    <xf numFmtId="0" fontId="26" fillId="43" borderId="0" xfId="0" applyFont="1" applyFill="1" applyAlignment="1">
      <alignment horizontal="left" vertical="top" indent="1"/>
    </xf>
    <xf numFmtId="0" fontId="30" fillId="45" borderId="0" xfId="55" applyFill="1" applyBorder="1" applyAlignment="1">
      <alignment horizontal="left" vertical="center"/>
    </xf>
    <xf numFmtId="0" fontId="2" fillId="45" borderId="0" xfId="0" applyFont="1" applyFill="1" applyAlignment="1">
      <alignment horizontal="left" vertical="top" wrapText="1"/>
    </xf>
    <xf numFmtId="49" fontId="24" fillId="44" borderId="0" xfId="0" applyNumberFormat="1" applyFont="1" applyFill="1" applyAlignment="1">
      <alignment horizontal="left" vertical="center"/>
    </xf>
    <xf numFmtId="0" fontId="24" fillId="44" borderId="0" xfId="0" applyFont="1" applyFill="1" applyAlignment="1">
      <alignment horizontal="left" vertical="center"/>
    </xf>
    <xf numFmtId="0" fontId="33" fillId="44" borderId="0" xfId="0" applyFont="1" applyFill="1" applyAlignment="1">
      <alignment horizontal="left" vertical="center"/>
    </xf>
    <xf numFmtId="0" fontId="0" fillId="44" borderId="0" xfId="0" applyFill="1" applyAlignment="1">
      <alignment horizontal="left" vertical="center" wrapText="1"/>
    </xf>
    <xf numFmtId="0" fontId="0" fillId="44" borderId="0" xfId="0" applyFill="1" applyAlignment="1">
      <alignment horizontal="left" vertical="center"/>
    </xf>
    <xf numFmtId="0" fontId="26" fillId="36" borderId="0" xfId="49" applyAlignment="1">
      <alignment horizontal="center"/>
    </xf>
  </cellXfs>
  <cellStyles count="60">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Calculation" xfId="17" builtinId="22" hidden="1"/>
    <cellStyle name="Calculation Cell" xfId="52" xr:uid="{00000000-0005-0000-0000-00001A000000}"/>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Good" xfId="12" builtinId="26" hidden="1"/>
    <cellStyle name="Header 1" xfId="1" xr:uid="{00000000-0005-0000-0000-000022000000}"/>
    <cellStyle name="Header 2" xfId="48" xr:uid="{00000000-0005-0000-0000-000023000000}"/>
    <cellStyle name="Heading 1" xfId="8" builtinId="16" hidden="1"/>
    <cellStyle name="Heading 2" xfId="9" builtinId="17" hidden="1"/>
    <cellStyle name="Heading 3" xfId="10" builtinId="18" hidden="1"/>
    <cellStyle name="Heading 4" xfId="11" builtinId="19" hidden="1"/>
    <cellStyle name="Hyperlink" xfId="55" builtinId="8"/>
    <cellStyle name="Hyperlink 2" xfId="58" xr:uid="{6CFE5700-3D21-4ED7-A565-D61C87E05795}"/>
    <cellStyle name="Input" xfId="15" builtinId="20" hidden="1"/>
    <cellStyle name="Input Cell" xfId="51" xr:uid="{00000000-0005-0000-0000-000029000000}"/>
    <cellStyle name="Linked Cell" xfId="18" builtinId="24" hidden="1"/>
    <cellStyle name="Neutral" xfId="14" builtinId="28" hidden="1"/>
    <cellStyle name="Normal" xfId="0" builtinId="0" customBuiltin="1"/>
    <cellStyle name="Normal 2" xfId="57" xr:uid="{6D9D2A1A-2009-4285-AD5D-74189CD180E4}"/>
    <cellStyle name="Normal 3" xfId="59" xr:uid="{9F50BE08-1494-444E-B16C-D555782A6CE7}"/>
    <cellStyle name="Normal 5" xfId="56" xr:uid="{134B03C3-21AF-4ECB-A6EF-9F35EDB8D916}"/>
    <cellStyle name="Note" xfId="21" builtinId="10" hidden="1"/>
    <cellStyle name="Output" xfId="16" builtinId="21" hidden="1"/>
    <cellStyle name="Output Cell" xfId="54" xr:uid="{00000000-0005-0000-0000-00002F000000}"/>
    <cellStyle name="Parameter Cell" xfId="53" xr:uid="{00000000-0005-0000-0000-000030000000}"/>
    <cellStyle name="Percent" xfId="6" builtinId="5" hidden="1"/>
    <cellStyle name="Table Header" xfId="49" xr:uid="{00000000-0005-0000-0000-000032000000}"/>
    <cellStyle name="Table Row Name" xfId="50" xr:uid="{00000000-0005-0000-0000-000033000000}"/>
    <cellStyle name="Title" xfId="7" builtinId="15" hidden="1"/>
    <cellStyle name="Total" xfId="23" builtinId="25" hidden="1"/>
    <cellStyle name="Warning Text" xfId="20" builtinId="11" hidden="1"/>
  </cellStyles>
  <dxfs count="0"/>
  <tableStyles count="0" defaultTableStyle="TableStyleMedium2" defaultPivotStyle="PivotStyleLight16"/>
  <colors>
    <mruColors>
      <color rgb="FF01374F"/>
      <color rgb="FF9EC0DB"/>
      <color rgb="FFE0D4A4"/>
      <color rgb="FF262D33"/>
      <color rgb="FF696A6D"/>
      <color rgb="FFD9DA93"/>
      <color rgb="FF9ECCA6"/>
      <color rgb="FFA0BCA6"/>
      <color rgb="FFF6C1D1"/>
      <color rgb="FF9EC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4</xdr:col>
      <xdr:colOff>0</xdr:colOff>
      <xdr:row>2</xdr:row>
      <xdr:rowOff>19050</xdr:rowOff>
    </xdr:to>
    <xdr:pic>
      <xdr:nvPicPr>
        <xdr:cNvPr id="3" name="Picture 2">
          <a:extLst>
            <a:ext uri="{FF2B5EF4-FFF2-40B4-BE49-F238E27FC236}">
              <a16:creationId xmlns:a16="http://schemas.microsoft.com/office/drawing/2014/main" id="{32F10089-5967-4624-9107-4CB68BFDFD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62000" y="152400"/>
          <a:ext cx="7620000" cy="5238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503465</xdr:colOff>
      <xdr:row>10</xdr:row>
      <xdr:rowOff>13607</xdr:rowOff>
    </xdr:from>
    <xdr:to>
      <xdr:col>20</xdr:col>
      <xdr:colOff>317008</xdr:colOff>
      <xdr:row>20</xdr:row>
      <xdr:rowOff>163951</xdr:rowOff>
    </xdr:to>
    <xdr:pic>
      <xdr:nvPicPr>
        <xdr:cNvPr id="3" name="Picture 2">
          <a:extLst>
            <a:ext uri="{FF2B5EF4-FFF2-40B4-BE49-F238E27FC236}">
              <a16:creationId xmlns:a16="http://schemas.microsoft.com/office/drawing/2014/main" id="{C908E0CD-A621-4068-B275-0D583C8CAC07}"/>
            </a:ext>
          </a:extLst>
        </xdr:cNvPr>
        <xdr:cNvPicPr>
          <a:picLocks noChangeAspect="1"/>
        </xdr:cNvPicPr>
      </xdr:nvPicPr>
      <xdr:blipFill>
        <a:blip xmlns:r="http://schemas.openxmlformats.org/officeDocument/2006/relationships" r:embed="rId1"/>
        <a:stretch>
          <a:fillRect/>
        </a:stretch>
      </xdr:blipFill>
      <xdr:spPr>
        <a:xfrm>
          <a:off x="16451036" y="2136321"/>
          <a:ext cx="7025329" cy="24299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KDC01\Shared%20Folders\Company\Projects\Policy\NHVR%20BRT\Model\Interface%2016_11_15.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DC01\Shared%20Folders\Company\Projects\Policy\NHVR%20BRT\Model\Data\PAYGO%20mode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KDC01\Shared%20Folders\Company\Projects\Policy\NHVR%20BRT\Model\Interface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ser Interface"/>
      <sheetName val="Lists"/>
    </sheetNames>
    <sheetDataSet>
      <sheetData sheetId="0"/>
      <sheetData sheetId="1"/>
      <sheetData sheetId="2">
        <row r="5">
          <cell r="B5">
            <v>1</v>
          </cell>
        </row>
        <row r="19">
          <cell r="G19" t="str">
            <v>Urban</v>
          </cell>
        </row>
        <row r="20">
          <cell r="G20" t="str">
            <v>Rural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Clickable model map"/>
      <sheetName val="M.1 Masterlists"/>
      <sheetName val="A.1 Assumptions"/>
      <sheetName val="A.2 Cost allocation matrix"/>
      <sheetName val="A.3 Charges assumptions"/>
      <sheetName val="I.1 Expenditure"/>
      <sheetName val="I.2 Indexes and averages"/>
      <sheetName val="I.3 Usage data inputs"/>
      <sheetName val="I.4 Jurisdiction rego data"/>
      <sheetName val="I.5 Historical charges"/>
      <sheetName val="I.6 SMVU data for MaxMan"/>
      <sheetName val="C.1 Arterial Cost Base"/>
      <sheetName val="C.2 Local Cost Base"/>
      <sheetName val="C.3 Usage data calculations"/>
      <sheetName val="C.4 Cost allocation"/>
      <sheetName val="C.5 Regulatory costs scenario"/>
      <sheetName val="C.6 Juro Veh and Revenue"/>
      <sheetName val="C.7 Charges calculations"/>
      <sheetName val="C.8 MaxMan splitter calcs"/>
      <sheetName val="C.9 MaxMan - Cost Allocation"/>
      <sheetName val="O.1 Charges sched by components"/>
      <sheetName val="O.2 Constraints check"/>
      <sheetName val="O.3 Summary tables"/>
      <sheetName val="O.4 Charts"/>
    </sheetNames>
    <sheetDataSet>
      <sheetData sheetId="0"/>
      <sheetData sheetId="1"/>
      <sheetData sheetId="2">
        <row r="23">
          <cell r="D23" t="str">
            <v>Code</v>
          </cell>
        </row>
        <row r="49">
          <cell r="D49" t="str">
            <v>Code</v>
          </cell>
          <cell r="E49" t="str">
            <v>Expenditure category</v>
          </cell>
        </row>
        <row r="50">
          <cell r="D50" t="str">
            <v>A</v>
          </cell>
          <cell r="E50" t="str">
            <v>Servicing and operating expenses</v>
          </cell>
        </row>
        <row r="51">
          <cell r="D51" t="str">
            <v>B</v>
          </cell>
          <cell r="E51" t="str">
            <v>Road pavement and shoulder maintenance</v>
          </cell>
        </row>
        <row r="52">
          <cell r="D52" t="str">
            <v>B1</v>
          </cell>
          <cell r="E52" t="str">
            <v>Routine maintenance</v>
          </cell>
        </row>
        <row r="53">
          <cell r="D53" t="str">
            <v>B2</v>
          </cell>
          <cell r="E53" t="str">
            <v>Periodic surface maintenance of sealed roads</v>
          </cell>
        </row>
        <row r="54">
          <cell r="D54" t="str">
            <v>C</v>
          </cell>
          <cell r="E54" t="str">
            <v>Bridge maintenance &amp; rehabilitation</v>
          </cell>
        </row>
        <row r="55">
          <cell r="D55" t="str">
            <v>D</v>
          </cell>
          <cell r="E55" t="str">
            <v>Road rehabilitation</v>
          </cell>
        </row>
        <row r="56">
          <cell r="D56" t="str">
            <v>E</v>
          </cell>
          <cell r="E56" t="str">
            <v>Low-cost safety &amp; traffic improvements</v>
          </cell>
        </row>
        <row r="57">
          <cell r="D57" t="str">
            <v>F</v>
          </cell>
          <cell r="E57" t="str">
            <v>Asset extension/improvements</v>
          </cell>
        </row>
        <row r="58">
          <cell r="D58" t="str">
            <v>F1</v>
          </cell>
          <cell r="E58" t="str">
            <v>Pavement improvements</v>
          </cell>
        </row>
        <row r="59">
          <cell r="D59" t="str">
            <v>F2</v>
          </cell>
          <cell r="E59" t="str">
            <v>Bridge improvements</v>
          </cell>
        </row>
        <row r="60">
          <cell r="D60" t="str">
            <v>F3</v>
          </cell>
          <cell r="E60" t="str">
            <v>Land acquisition, earthworks, other extensions / improvement expenditure</v>
          </cell>
        </row>
        <row r="61">
          <cell r="D61" t="str">
            <v>G</v>
          </cell>
          <cell r="E61" t="str">
            <v>Other miscellaneous activities</v>
          </cell>
        </row>
        <row r="62">
          <cell r="D62" t="str">
            <v>G1</v>
          </cell>
          <cell r="E62" t="str">
            <v>Corporate services</v>
          </cell>
        </row>
        <row r="63">
          <cell r="D63" t="str">
            <v>G2</v>
          </cell>
          <cell r="E63" t="str">
            <v>Heavy vehicle regulatory costs</v>
          </cell>
        </row>
        <row r="64">
          <cell r="D64" t="str">
            <v>G3</v>
          </cell>
          <cell r="E64" t="str">
            <v>Vehicle registration</v>
          </cell>
        </row>
        <row r="65">
          <cell r="D65" t="str">
            <v>G4</v>
          </cell>
          <cell r="E65" t="str">
            <v>Driver licensing</v>
          </cell>
        </row>
        <row r="66">
          <cell r="D66" t="str">
            <v>G5</v>
          </cell>
          <cell r="E66" t="str">
            <v>Loan servicing</v>
          </cell>
        </row>
        <row r="67">
          <cell r="D67" t="str">
            <v>H</v>
          </cell>
          <cell r="E67" t="str">
            <v>Other road-related payments</v>
          </cell>
        </row>
        <row r="68">
          <cell r="D68" t="str">
            <v>H1</v>
          </cell>
          <cell r="E68" t="str">
            <v>Financial assistance to councils for work on council managed arterials</v>
          </cell>
        </row>
        <row r="69">
          <cell r="D69" t="str">
            <v>H2</v>
          </cell>
          <cell r="E69" t="str">
            <v>Payments to councils for contract work on state managed roads</v>
          </cell>
        </row>
        <row r="70">
          <cell r="D70" t="str">
            <v>H3</v>
          </cell>
          <cell r="E70" t="str">
            <v>Spending on local access roads in unincorporated areas</v>
          </cell>
        </row>
        <row r="71">
          <cell r="D71" t="str">
            <v>H4</v>
          </cell>
          <cell r="E71" t="str">
            <v>Direct spending on council managed local access roads</v>
          </cell>
        </row>
        <row r="72">
          <cell r="D72" t="str">
            <v>H5</v>
          </cell>
          <cell r="E72" t="str">
            <v>Any other direct state spending on local access roads</v>
          </cell>
        </row>
        <row r="77">
          <cell r="D77" t="str">
            <v>Code</v>
          </cell>
          <cell r="E77" t="str">
            <v>Vehicle class</v>
          </cell>
        </row>
        <row r="78">
          <cell r="D78" t="str">
            <v>V01</v>
          </cell>
          <cell r="E78" t="str">
            <v>Motor cycles</v>
          </cell>
        </row>
        <row r="79">
          <cell r="D79" t="str">
            <v>V02</v>
          </cell>
          <cell r="E79" t="str">
            <v>Passenger cars</v>
          </cell>
        </row>
        <row r="80">
          <cell r="D80" t="str">
            <v>V03</v>
          </cell>
          <cell r="E80" t="str">
            <v>Passenger vans &amp; Light buses</v>
          </cell>
        </row>
        <row r="81">
          <cell r="D81" t="str">
            <v>V04</v>
          </cell>
          <cell r="E81" t="str">
            <v>4WDs: passenger</v>
          </cell>
        </row>
        <row r="82">
          <cell r="D82" t="str">
            <v>V05</v>
          </cell>
          <cell r="E82" t="str">
            <v>4WDs: light commercial</v>
          </cell>
        </row>
        <row r="83">
          <cell r="D83" t="str">
            <v>V06</v>
          </cell>
          <cell r="E83" t="str">
            <v>Light commercials &amp; Other light vehicles</v>
          </cell>
        </row>
        <row r="84">
          <cell r="D84" t="str">
            <v>V07</v>
          </cell>
          <cell r="E84" t="str">
            <v>Light rigid trucks</v>
          </cell>
        </row>
        <row r="85">
          <cell r="D85" t="str">
            <v>V08</v>
          </cell>
          <cell r="E85" t="str">
            <v>Rigid trucks: 2 axles: no trailer: 4.5 &lt; GVM ≤ 7.0 t</v>
          </cell>
        </row>
        <row r="86">
          <cell r="D86" t="str">
            <v>V09</v>
          </cell>
          <cell r="E86" t="str">
            <v>Rigid trucks: 2 axles: no trailer: 7.0 t &lt; GVM ≤ 12.0 t</v>
          </cell>
        </row>
        <row r="87">
          <cell r="D87" t="str">
            <v>V10</v>
          </cell>
          <cell r="E87" t="str">
            <v>Rigid trucks: 2 axles: no trailer: GVM &gt; 12.0 t</v>
          </cell>
        </row>
        <row r="88">
          <cell r="D88" t="str">
            <v>V11</v>
          </cell>
          <cell r="E88" t="str">
            <v>Rigid trucks: 2 axles: with trailer: GCM ≤ 42.5 t</v>
          </cell>
        </row>
        <row r="89">
          <cell r="D89" t="str">
            <v>V12</v>
          </cell>
          <cell r="E89" t="str">
            <v>Rigid trucks: 3 axles: no trailer: 4.5 &lt; GVM ≤ 18.0 t</v>
          </cell>
        </row>
        <row r="90">
          <cell r="D90" t="str">
            <v>V13</v>
          </cell>
          <cell r="E90" t="str">
            <v>Rigid trucks: 3 axles: no trailer: GVM &gt; 18.0 t</v>
          </cell>
        </row>
        <row r="91">
          <cell r="D91" t="str">
            <v>V14</v>
          </cell>
          <cell r="E91" t="str">
            <v>Rigid trucks: 3 axles: with trailer: GCM ≤ 42.5 t</v>
          </cell>
        </row>
        <row r="92">
          <cell r="D92" t="str">
            <v>V15</v>
          </cell>
          <cell r="E92" t="str">
            <v>Rigid trucks: 4 axles: no trailer: 4.5 &lt; GVM ≤ 25.0 t</v>
          </cell>
        </row>
        <row r="93">
          <cell r="D93" t="str">
            <v>V16</v>
          </cell>
          <cell r="E93" t="str">
            <v>Rigid trucks: 4 axle: no trailer: GVM &gt; 25.0 t</v>
          </cell>
        </row>
        <row r="94">
          <cell r="D94" t="str">
            <v>V17</v>
          </cell>
          <cell r="E94" t="str">
            <v>Rigid trucks: 4 axles: with trailer: GCM ≤ 42.5 t</v>
          </cell>
        </row>
        <row r="95">
          <cell r="D95" t="str">
            <v>V18</v>
          </cell>
          <cell r="E95" t="str">
            <v>Rigid trucks: 3,4+ axles: with trailer: GCM &gt; 42.5 t</v>
          </cell>
        </row>
        <row r="96">
          <cell r="D96" t="str">
            <v>V19</v>
          </cell>
          <cell r="E96" t="str">
            <v>Articulated trucks: single trailer: 3 axle rig</v>
          </cell>
        </row>
        <row r="97">
          <cell r="D97" t="str">
            <v>V20</v>
          </cell>
          <cell r="E97" t="str">
            <v>Articulated trucks: single trailer: 4 axle rig</v>
          </cell>
        </row>
        <row r="98">
          <cell r="D98" t="str">
            <v>V21</v>
          </cell>
          <cell r="E98" t="str">
            <v>Articulated trucks: single 3 axle trailer: 5 axle rig</v>
          </cell>
        </row>
        <row r="99">
          <cell r="D99" t="str">
            <v>V22</v>
          </cell>
          <cell r="E99" t="str">
            <v>Articulated trucks: single 2 axle trailer: 5 axle rig</v>
          </cell>
        </row>
        <row r="100">
          <cell r="D100" t="str">
            <v>V23</v>
          </cell>
          <cell r="E100" t="str">
            <v>Articulated trucks: single trailer: 6 axle rig</v>
          </cell>
        </row>
        <row r="101">
          <cell r="D101" t="str">
            <v>V24</v>
          </cell>
          <cell r="E101" t="str">
            <v>Articulated trucks: B-double: &lt; 9 axle rig</v>
          </cell>
        </row>
        <row r="102">
          <cell r="D102" t="str">
            <v>V25</v>
          </cell>
          <cell r="E102" t="str">
            <v>Articulated trucks: B-double: ≥ 9 axle rig</v>
          </cell>
        </row>
        <row r="103">
          <cell r="D103" t="str">
            <v>V25a</v>
          </cell>
          <cell r="E103" t="str">
            <v>Articulated trucks: B-triple</v>
          </cell>
        </row>
        <row r="104">
          <cell r="D104" t="str">
            <v>V26</v>
          </cell>
          <cell r="E104" t="str">
            <v>Articulated trucks: Road train: 2 trailers</v>
          </cell>
        </row>
        <row r="105">
          <cell r="D105" t="str">
            <v>V27</v>
          </cell>
          <cell r="E105" t="str">
            <v>Articulated trucks: Road train: 3 trailers</v>
          </cell>
        </row>
        <row r="106">
          <cell r="D106" t="str">
            <v>V28</v>
          </cell>
          <cell r="E106" t="str">
            <v>Articulated trucks: single trailer: &gt; 6 axle rig</v>
          </cell>
        </row>
        <row r="107">
          <cell r="D107" t="str">
            <v>V29</v>
          </cell>
          <cell r="E107" t="str">
            <v>Other trucks</v>
          </cell>
        </row>
        <row r="108">
          <cell r="D108" t="str">
            <v>V30</v>
          </cell>
          <cell r="E108" t="str">
            <v>Buses: 2 axles: 3.5 &lt; GVM ≤ 4.5 t</v>
          </cell>
        </row>
        <row r="109">
          <cell r="D109" t="str">
            <v>V31</v>
          </cell>
          <cell r="E109" t="str">
            <v>Buses: 2 axles: 4.5 &lt; GVM ≤ 10.0 t</v>
          </cell>
        </row>
        <row r="110">
          <cell r="D110" t="str">
            <v>V32</v>
          </cell>
          <cell r="E110" t="str">
            <v>Buses: 2 axles: GVM &gt; 10.0 t</v>
          </cell>
        </row>
        <row r="111">
          <cell r="D111" t="str">
            <v>V33</v>
          </cell>
          <cell r="E111" t="str">
            <v>Buses:  ≥ 3 axles</v>
          </cell>
        </row>
        <row r="112">
          <cell r="D112" t="str">
            <v>V34</v>
          </cell>
          <cell r="E112" t="str">
            <v>Buses: articulated</v>
          </cell>
        </row>
        <row r="149">
          <cell r="D149" t="str">
            <v>Code</v>
          </cell>
          <cell r="E149" t="str">
            <v>Jurisdictions</v>
          </cell>
        </row>
        <row r="150">
          <cell r="D150" t="str">
            <v>J01</v>
          </cell>
          <cell r="E150" t="str">
            <v>NSW</v>
          </cell>
        </row>
        <row r="151">
          <cell r="D151" t="str">
            <v>J02</v>
          </cell>
          <cell r="E151" t="str">
            <v>VIC</v>
          </cell>
        </row>
        <row r="152">
          <cell r="D152" t="str">
            <v>J03</v>
          </cell>
          <cell r="E152" t="str">
            <v>QLD</v>
          </cell>
        </row>
        <row r="153">
          <cell r="D153" t="str">
            <v>J04</v>
          </cell>
          <cell r="E153" t="str">
            <v>SA</v>
          </cell>
        </row>
        <row r="154">
          <cell r="D154" t="str">
            <v>J05</v>
          </cell>
          <cell r="E154" t="str">
            <v>WA</v>
          </cell>
        </row>
        <row r="155">
          <cell r="D155" t="str">
            <v>J06</v>
          </cell>
          <cell r="E155" t="str">
            <v>TAS</v>
          </cell>
        </row>
        <row r="156">
          <cell r="D156" t="str">
            <v>J07</v>
          </cell>
          <cell r="E156" t="str">
            <v>NT</v>
          </cell>
        </row>
        <row r="157">
          <cell r="D157" t="str">
            <v>J08</v>
          </cell>
          <cell r="E157" t="str">
            <v>ACT</v>
          </cell>
        </row>
        <row r="158">
          <cell r="D158" t="str">
            <v>J09</v>
          </cell>
          <cell r="E158" t="str">
            <v>AUS Total</v>
          </cell>
        </row>
      </sheetData>
      <sheetData sheetId="3">
        <row r="28">
          <cell r="E28" t="str">
            <v>2014/2015</v>
          </cell>
        </row>
        <row r="77">
          <cell r="E77" t="str">
            <v>Latest registration data</v>
          </cell>
        </row>
        <row r="82">
          <cell r="E82" t="str">
            <v>EMA</v>
          </cell>
        </row>
      </sheetData>
      <sheetData sheetId="4"/>
      <sheetData sheetId="5">
        <row r="50">
          <cell r="E50">
            <v>50</v>
          </cell>
        </row>
      </sheetData>
      <sheetData sheetId="6"/>
      <sheetData sheetId="7"/>
      <sheetData sheetId="8"/>
      <sheetData sheetId="9">
        <row r="2108">
          <cell r="F2108" t="str">
            <v>2005/2006</v>
          </cell>
        </row>
      </sheetData>
      <sheetData sheetId="10"/>
      <sheetData sheetId="11"/>
      <sheetData sheetId="12">
        <row r="111">
          <cell r="F111">
            <v>0.57261974706326657</v>
          </cell>
        </row>
      </sheetData>
      <sheetData sheetId="13"/>
      <sheetData sheetId="14"/>
      <sheetData sheetId="15"/>
      <sheetData sheetId="16"/>
      <sheetData sheetId="17"/>
      <sheetData sheetId="18">
        <row r="319">
          <cell r="E319" t="str">
            <v>Motor cycles</v>
          </cell>
        </row>
      </sheetData>
      <sheetData sheetId="19"/>
      <sheetData sheetId="20"/>
      <sheetData sheetId="21">
        <row r="53">
          <cell r="F53">
            <v>362.79794475144899</v>
          </cell>
        </row>
      </sheetData>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User Interface"/>
      <sheetName val="Lists"/>
    </sheetNames>
    <sheetDataSet>
      <sheetData sheetId="0" refreshError="1"/>
      <sheetData sheetId="1" refreshError="1"/>
      <sheetData sheetId="2">
        <row r="5">
          <cell r="B5">
            <v>1</v>
          </cell>
          <cell r="I5" t="str">
            <v>NSW</v>
          </cell>
        </row>
        <row r="6">
          <cell r="I6" t="str">
            <v>VIC</v>
          </cell>
        </row>
        <row r="7">
          <cell r="I7" t="str">
            <v>TAS</v>
          </cell>
        </row>
        <row r="8">
          <cell r="I8" t="str">
            <v>SA</v>
          </cell>
        </row>
        <row r="9">
          <cell r="I9" t="str">
            <v>QLD</v>
          </cell>
        </row>
        <row r="10">
          <cell r="I10" t="str">
            <v>ACT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ustroads.com.au/publications/asset-management/ap-r653-21" TargetMode="External"/><Relationship Id="rId1" Type="http://schemas.openxmlformats.org/officeDocument/2006/relationships/hyperlink" Target="https://austroads.com.au/publications/asset-management/ap-r631-2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transport.nsw.gov.au/projects/project-delivery-requirements/evaluation-and-assurance/technical-guidance" TargetMode="External"/><Relationship Id="rId1" Type="http://schemas.openxmlformats.org/officeDocument/2006/relationships/hyperlink" Target="https://www.atap.gov.au/sites/default/files/pv2_road_parameter_values.pdf"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FF"/>
  </sheetPr>
  <dimension ref="B2:I11"/>
  <sheetViews>
    <sheetView showGridLines="0" tabSelected="1" zoomScale="75" zoomScaleNormal="75" workbookViewId="0">
      <selection activeCell="C5" sqref="C5:D5"/>
    </sheetView>
  </sheetViews>
  <sheetFormatPr defaultColWidth="8.88671875" defaultRowHeight="14.25" x14ac:dyDescent="0.2"/>
  <cols>
    <col min="1" max="1" width="8.88671875" style="1"/>
    <col min="2" max="2" width="23.88671875" style="1" customWidth="1"/>
    <col min="3" max="3" width="37.44140625" style="1" customWidth="1"/>
    <col min="4" max="4" width="27.5546875" style="1" customWidth="1"/>
    <col min="5" max="16384" width="8.88671875" style="1"/>
  </cols>
  <sheetData>
    <row r="2" spans="2:9" ht="408.95" customHeight="1" x14ac:dyDescent="0.2">
      <c r="B2" s="95"/>
      <c r="C2" s="96"/>
      <c r="D2" s="97"/>
      <c r="H2"/>
      <c r="I2"/>
    </row>
    <row r="3" spans="2:9" ht="24.95" customHeight="1" x14ac:dyDescent="0.2">
      <c r="B3" s="98" t="s">
        <v>209</v>
      </c>
      <c r="C3" s="104" t="s">
        <v>218</v>
      </c>
      <c r="D3" s="104"/>
    </row>
    <row r="4" spans="2:9" ht="24.95" customHeight="1" x14ac:dyDescent="0.2">
      <c r="B4" s="98" t="s">
        <v>210</v>
      </c>
      <c r="C4" s="105" t="s">
        <v>4</v>
      </c>
      <c r="D4" s="105"/>
    </row>
    <row r="5" spans="2:9" ht="24.95" customHeight="1" x14ac:dyDescent="0.2">
      <c r="B5" s="98" t="s">
        <v>211</v>
      </c>
      <c r="C5" s="106" t="s">
        <v>216</v>
      </c>
      <c r="D5" s="106"/>
    </row>
    <row r="6" spans="2:9" ht="24.95" customHeight="1" x14ac:dyDescent="0.2">
      <c r="B6" s="98" t="s">
        <v>1</v>
      </c>
      <c r="C6" s="107" t="s">
        <v>31</v>
      </c>
      <c r="D6" s="107"/>
    </row>
    <row r="7" spans="2:9" ht="24.95" customHeight="1" x14ac:dyDescent="0.2">
      <c r="B7" s="98" t="s">
        <v>2</v>
      </c>
      <c r="C7" s="108" t="s">
        <v>217</v>
      </c>
      <c r="D7" s="108"/>
    </row>
    <row r="8" spans="2:9" ht="24.95" customHeight="1" x14ac:dyDescent="0.2">
      <c r="B8" s="98" t="s">
        <v>3</v>
      </c>
      <c r="C8" s="108">
        <v>1</v>
      </c>
      <c r="D8" s="108"/>
    </row>
    <row r="9" spans="2:9" ht="24.95" customHeight="1" x14ac:dyDescent="0.2">
      <c r="B9" s="99" t="s">
        <v>212</v>
      </c>
      <c r="C9" s="102" t="s">
        <v>213</v>
      </c>
      <c r="D9" s="102"/>
    </row>
    <row r="10" spans="2:9" ht="33.75" customHeight="1" x14ac:dyDescent="0.2">
      <c r="B10" s="100"/>
      <c r="C10" s="102" t="s">
        <v>214</v>
      </c>
      <c r="D10" s="102"/>
    </row>
    <row r="11" spans="2:9" ht="55.5" customHeight="1" x14ac:dyDescent="0.2">
      <c r="B11" s="101" t="s">
        <v>215</v>
      </c>
      <c r="C11" s="103" t="s">
        <v>219</v>
      </c>
      <c r="D11" s="103"/>
    </row>
  </sheetData>
  <mergeCells count="9">
    <mergeCell ref="C9:D9"/>
    <mergeCell ref="C10:D10"/>
    <mergeCell ref="C11:D11"/>
    <mergeCell ref="C3:D3"/>
    <mergeCell ref="C4:D4"/>
    <mergeCell ref="C5:D5"/>
    <mergeCell ref="C6:D6"/>
    <mergeCell ref="C7:D7"/>
    <mergeCell ref="C8:D8"/>
  </mergeCells>
  <hyperlinks>
    <hyperlink ref="C10:D10" r:id="rId1" display="A Holistic Investment Prioritisation Framework for Road Assets" xr:uid="{2BD8F4F8-00B7-464B-AFEA-593EB6DC118C}"/>
    <hyperlink ref="C9:D9" r:id="rId2" display="Investment Prioritisation Templates User Guide" xr:uid="{936A3EAA-C265-492F-94AE-27BC8E540D86}"/>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9F70C-4259-49AF-BA44-BCA4A401600F}">
  <sheetPr>
    <tabColor rgb="FF99FFCC"/>
  </sheetPr>
  <dimension ref="A1:AN79"/>
  <sheetViews>
    <sheetView showGridLines="0" zoomScale="55" zoomScaleNormal="55" workbookViewId="0">
      <selection activeCell="C9" sqref="C9"/>
    </sheetView>
  </sheetViews>
  <sheetFormatPr defaultColWidth="8.88671875" defaultRowHeight="15" x14ac:dyDescent="0.2"/>
  <cols>
    <col min="1" max="1" width="14" style="1" customWidth="1"/>
    <col min="2" max="2" width="29.109375" style="1" customWidth="1"/>
    <col min="3" max="3" width="15.44140625" style="1" customWidth="1"/>
    <col min="4" max="4" width="15.33203125" style="1" customWidth="1"/>
    <col min="5" max="5" width="16.5546875" customWidth="1"/>
    <col min="6" max="6" width="16.44140625" customWidth="1"/>
    <col min="7" max="7" width="13.88671875" bestFit="1" customWidth="1"/>
    <col min="8" max="8" width="15.33203125" customWidth="1"/>
    <col min="9" max="9" width="12.21875" customWidth="1"/>
    <col min="10" max="27" width="8" customWidth="1"/>
    <col min="28" max="32" width="8" style="1" customWidth="1"/>
    <col min="33" max="33" width="10" style="1" bestFit="1" customWidth="1"/>
    <col min="34" max="16384" width="8.88671875" style="1"/>
  </cols>
  <sheetData>
    <row r="1" spans="1:40" ht="18" x14ac:dyDescent="0.25">
      <c r="A1" s="2" t="str">
        <f ca="1">MID(CELL("filename",A2),FIND("]",CELL("filename",A2))+1,256)</f>
        <v>User interface</v>
      </c>
    </row>
    <row r="2" spans="1:40" x14ac:dyDescent="0.2">
      <c r="A2" s="5" t="s">
        <v>0</v>
      </c>
    </row>
    <row r="4" spans="1:40" ht="20.25" x14ac:dyDescent="0.3">
      <c r="B4" s="18" t="s">
        <v>5</v>
      </c>
      <c r="C4" s="18"/>
      <c r="D4" s="18"/>
      <c r="E4" s="18"/>
      <c r="F4" s="18"/>
      <c r="G4" s="18"/>
      <c r="H4" s="18"/>
      <c r="I4" s="18"/>
      <c r="J4" s="18"/>
      <c r="K4" s="18"/>
      <c r="L4" s="18"/>
      <c r="AB4"/>
      <c r="AC4"/>
      <c r="AD4"/>
      <c r="AE4"/>
      <c r="AF4"/>
      <c r="AG4"/>
      <c r="AH4"/>
      <c r="AI4"/>
      <c r="AJ4"/>
      <c r="AK4"/>
      <c r="AL4"/>
      <c r="AM4"/>
      <c r="AN4"/>
    </row>
    <row r="6" spans="1:40" ht="15.75" x14ac:dyDescent="0.25">
      <c r="B6" s="14" t="s">
        <v>20</v>
      </c>
      <c r="C6" s="14"/>
    </row>
    <row r="8" spans="1:40" ht="15.75" x14ac:dyDescent="0.25">
      <c r="B8" s="8"/>
      <c r="C8" s="8"/>
      <c r="G8" s="1"/>
    </row>
    <row r="9" spans="1:40" x14ac:dyDescent="0.2">
      <c r="B9" s="3" t="s">
        <v>21</v>
      </c>
      <c r="C9" s="16" t="s">
        <v>12</v>
      </c>
      <c r="G9" s="1"/>
    </row>
    <row r="10" spans="1:40" x14ac:dyDescent="0.2">
      <c r="B10" s="3" t="s">
        <v>183</v>
      </c>
      <c r="C10" s="17"/>
      <c r="G10" s="1"/>
    </row>
    <row r="11" spans="1:40" x14ac:dyDescent="0.2">
      <c r="B11" s="3" t="s">
        <v>155</v>
      </c>
      <c r="C11" s="17"/>
      <c r="G11" s="1"/>
    </row>
    <row r="12" spans="1:40" x14ac:dyDescent="0.2">
      <c r="B12" s="3" t="s">
        <v>23</v>
      </c>
      <c r="C12" s="16" t="s">
        <v>74</v>
      </c>
      <c r="G12" s="1"/>
    </row>
    <row r="13" spans="1:40" x14ac:dyDescent="0.2">
      <c r="B13" s="3" t="s">
        <v>122</v>
      </c>
      <c r="C13" s="41"/>
      <c r="G13" s="1"/>
    </row>
    <row r="14" spans="1:40" x14ac:dyDescent="0.2">
      <c r="G14" s="1"/>
    </row>
    <row r="15" spans="1:40" ht="15.75" x14ac:dyDescent="0.25">
      <c r="B15" s="8" t="s">
        <v>25</v>
      </c>
      <c r="C15" s="8">
        <v>2021</v>
      </c>
      <c r="D15" s="8">
        <v>2022</v>
      </c>
      <c r="E15" s="8">
        <v>2023</v>
      </c>
      <c r="F15" s="8">
        <v>2024</v>
      </c>
      <c r="G15" s="8">
        <v>2025</v>
      </c>
      <c r="H15" s="8">
        <v>2026</v>
      </c>
      <c r="I15" s="8">
        <v>2027</v>
      </c>
      <c r="J15" s="8">
        <v>2028</v>
      </c>
      <c r="K15" s="8">
        <v>2029</v>
      </c>
      <c r="L15" s="8">
        <v>2030</v>
      </c>
      <c r="AB15"/>
      <c r="AC15"/>
      <c r="AD15"/>
      <c r="AE15"/>
      <c r="AF15"/>
    </row>
    <row r="16" spans="1:40" x14ac:dyDescent="0.2">
      <c r="B16" s="3" t="s">
        <v>26</v>
      </c>
      <c r="C16" s="13"/>
      <c r="D16" s="13"/>
      <c r="E16" s="13"/>
      <c r="F16" s="13"/>
      <c r="G16" s="13"/>
      <c r="H16" s="13"/>
      <c r="I16" s="13"/>
      <c r="J16" s="13"/>
      <c r="K16" s="13"/>
      <c r="L16" s="13"/>
      <c r="AB16"/>
      <c r="AC16"/>
      <c r="AD16"/>
      <c r="AE16"/>
      <c r="AF16"/>
    </row>
    <row r="17" spans="1:40" x14ac:dyDescent="0.2">
      <c r="B17" s="3" t="s">
        <v>27</v>
      </c>
      <c r="C17" s="13"/>
      <c r="D17" s="13"/>
      <c r="E17" s="13"/>
      <c r="F17" s="13"/>
      <c r="G17" s="13"/>
      <c r="H17" s="13"/>
      <c r="I17" s="13"/>
      <c r="J17" s="13"/>
      <c r="K17" s="13"/>
      <c r="L17" s="13"/>
      <c r="AB17"/>
      <c r="AC17"/>
      <c r="AD17"/>
      <c r="AE17"/>
      <c r="AF17"/>
    </row>
    <row r="18" spans="1:40" x14ac:dyDescent="0.2">
      <c r="B18" s="3" t="s">
        <v>28</v>
      </c>
      <c r="C18" s="13"/>
      <c r="D18" s="13"/>
      <c r="E18" s="13"/>
      <c r="F18" s="13"/>
      <c r="G18" s="13"/>
      <c r="H18" s="13"/>
      <c r="I18" s="13"/>
      <c r="J18" s="13"/>
      <c r="K18" s="13"/>
      <c r="L18" s="13"/>
      <c r="AB18"/>
      <c r="AC18"/>
      <c r="AD18"/>
      <c r="AE18"/>
      <c r="AF18"/>
    </row>
    <row r="19" spans="1:40" x14ac:dyDescent="0.2">
      <c r="B19" s="3" t="s">
        <v>29</v>
      </c>
      <c r="C19" s="12">
        <f>SUM(C16:C18)</f>
        <v>0</v>
      </c>
      <c r="D19" s="12">
        <f t="shared" ref="D19:L19" si="0">SUM(D16:D18)</f>
        <v>0</v>
      </c>
      <c r="E19" s="12">
        <f t="shared" si="0"/>
        <v>0</v>
      </c>
      <c r="F19" s="12">
        <f t="shared" si="0"/>
        <v>0</v>
      </c>
      <c r="G19" s="12">
        <f t="shared" si="0"/>
        <v>0</v>
      </c>
      <c r="H19" s="12">
        <f t="shared" si="0"/>
        <v>0</v>
      </c>
      <c r="I19" s="12">
        <f t="shared" si="0"/>
        <v>0</v>
      </c>
      <c r="J19" s="12">
        <f t="shared" si="0"/>
        <v>0</v>
      </c>
      <c r="K19" s="12">
        <f t="shared" si="0"/>
        <v>0</v>
      </c>
      <c r="L19" s="12">
        <f t="shared" si="0"/>
        <v>0</v>
      </c>
      <c r="AB19"/>
      <c r="AC19"/>
      <c r="AD19"/>
      <c r="AE19"/>
      <c r="AF19"/>
    </row>
    <row r="20" spans="1:40" x14ac:dyDescent="0.2">
      <c r="AB20"/>
      <c r="AC20"/>
      <c r="AD20"/>
      <c r="AE20"/>
      <c r="AF20"/>
    </row>
    <row r="21" spans="1:40" ht="15.75" x14ac:dyDescent="0.25">
      <c r="B21" s="8" t="s">
        <v>30</v>
      </c>
      <c r="C21" s="8">
        <v>2021</v>
      </c>
      <c r="D21" s="8">
        <v>2022</v>
      </c>
      <c r="E21" s="8">
        <v>2023</v>
      </c>
      <c r="F21" s="8">
        <v>2024</v>
      </c>
      <c r="G21" s="8">
        <v>2025</v>
      </c>
      <c r="H21" s="8">
        <v>2026</v>
      </c>
      <c r="I21" s="8">
        <v>2027</v>
      </c>
      <c r="J21" s="8">
        <v>2028</v>
      </c>
      <c r="K21" s="8">
        <v>2029</v>
      </c>
      <c r="L21" s="8">
        <v>2030</v>
      </c>
      <c r="AB21"/>
      <c r="AC21"/>
      <c r="AD21"/>
      <c r="AE21"/>
      <c r="AF21"/>
    </row>
    <row r="22" spans="1:40" x14ac:dyDescent="0.2">
      <c r="B22" s="3" t="s">
        <v>26</v>
      </c>
      <c r="C22" s="13"/>
      <c r="D22" s="13"/>
      <c r="E22" s="13"/>
      <c r="F22" s="13"/>
      <c r="G22" s="13"/>
      <c r="H22" s="13"/>
      <c r="I22" s="13"/>
      <c r="J22" s="13"/>
      <c r="K22" s="13"/>
      <c r="L22" s="13"/>
      <c r="AB22"/>
      <c r="AC22"/>
      <c r="AD22"/>
      <c r="AE22"/>
      <c r="AF22"/>
    </row>
    <row r="23" spans="1:40" x14ac:dyDescent="0.2">
      <c r="B23" s="3" t="s">
        <v>27</v>
      </c>
      <c r="C23" s="13"/>
      <c r="D23" s="13"/>
      <c r="E23" s="13"/>
      <c r="F23" s="13"/>
      <c r="G23" s="13"/>
      <c r="H23" s="13"/>
      <c r="I23" s="13"/>
      <c r="J23" s="13"/>
      <c r="K23" s="13"/>
      <c r="L23" s="13"/>
      <c r="AB23"/>
      <c r="AC23"/>
      <c r="AD23"/>
      <c r="AE23"/>
      <c r="AF23"/>
    </row>
    <row r="24" spans="1:40" x14ac:dyDescent="0.2">
      <c r="B24" s="3" t="s">
        <v>28</v>
      </c>
      <c r="C24" s="13"/>
      <c r="D24" s="13"/>
      <c r="E24" s="13"/>
      <c r="F24" s="13"/>
      <c r="G24" s="13"/>
      <c r="H24" s="13"/>
      <c r="I24" s="13"/>
      <c r="J24" s="13"/>
      <c r="K24" s="13"/>
      <c r="L24" s="13"/>
      <c r="AB24"/>
      <c r="AC24"/>
      <c r="AD24"/>
      <c r="AE24"/>
      <c r="AF24"/>
    </row>
    <row r="25" spans="1:40" x14ac:dyDescent="0.2">
      <c r="B25" s="3" t="s">
        <v>29</v>
      </c>
      <c r="C25" s="12">
        <f>SUM(C22:C24)</f>
        <v>0</v>
      </c>
      <c r="D25" s="12">
        <f t="shared" ref="D25:L25" si="1">SUM(D22:D24)</f>
        <v>0</v>
      </c>
      <c r="E25" s="12">
        <f t="shared" si="1"/>
        <v>0</v>
      </c>
      <c r="F25" s="12">
        <f t="shared" si="1"/>
        <v>0</v>
      </c>
      <c r="G25" s="12">
        <f t="shared" si="1"/>
        <v>0</v>
      </c>
      <c r="H25" s="12">
        <f t="shared" si="1"/>
        <v>0</v>
      </c>
      <c r="I25" s="12">
        <f t="shared" si="1"/>
        <v>0</v>
      </c>
      <c r="J25" s="12">
        <f t="shared" si="1"/>
        <v>0</v>
      </c>
      <c r="K25" s="12">
        <f t="shared" si="1"/>
        <v>0</v>
      </c>
      <c r="L25" s="12">
        <f t="shared" si="1"/>
        <v>0</v>
      </c>
      <c r="AB25"/>
      <c r="AC25"/>
      <c r="AD25"/>
      <c r="AE25"/>
      <c r="AF25"/>
    </row>
    <row r="26" spans="1:40" x14ac:dyDescent="0.2">
      <c r="G26" s="1"/>
    </row>
    <row r="27" spans="1:40" ht="15.75" x14ac:dyDescent="0.25">
      <c r="B27" s="14" t="s">
        <v>114</v>
      </c>
      <c r="C27" s="14"/>
      <c r="D27" s="14"/>
    </row>
    <row r="28" spans="1:40" x14ac:dyDescent="0.2">
      <c r="G28" s="1"/>
    </row>
    <row r="29" spans="1:40" customFormat="1" ht="31.5" x14ac:dyDescent="0.25">
      <c r="A29" s="1"/>
      <c r="B29" s="8"/>
      <c r="C29" s="23" t="s">
        <v>41</v>
      </c>
      <c r="D29" s="23" t="s">
        <v>42</v>
      </c>
      <c r="AB29" s="1"/>
      <c r="AC29" s="1"/>
      <c r="AD29" s="1"/>
      <c r="AE29" s="1"/>
      <c r="AF29" s="1"/>
      <c r="AG29" s="1"/>
      <c r="AH29" s="1"/>
      <c r="AI29" s="1"/>
      <c r="AJ29" s="1"/>
      <c r="AK29" s="1"/>
      <c r="AL29" s="1"/>
      <c r="AM29" s="1"/>
      <c r="AN29" s="1"/>
    </row>
    <row r="30" spans="1:40" customFormat="1" x14ac:dyDescent="0.2">
      <c r="A30" s="1"/>
      <c r="B30" s="3" t="s">
        <v>116</v>
      </c>
      <c r="C30" s="19"/>
      <c r="D30" s="19"/>
      <c r="AB30" s="1"/>
      <c r="AC30" s="1"/>
      <c r="AD30" s="1"/>
      <c r="AE30" s="1"/>
      <c r="AF30" s="1"/>
      <c r="AG30" s="1"/>
      <c r="AH30" s="1"/>
      <c r="AI30" s="1"/>
      <c r="AJ30" s="1"/>
      <c r="AK30" s="1"/>
      <c r="AL30" s="1"/>
      <c r="AM30" s="1"/>
      <c r="AN30" s="1"/>
    </row>
    <row r="31" spans="1:40" customFormat="1" x14ac:dyDescent="0.2">
      <c r="A31" s="1"/>
      <c r="B31" s="3" t="s">
        <v>120</v>
      </c>
      <c r="C31" s="4">
        <f>C30*$C$10</f>
        <v>0</v>
      </c>
      <c r="D31" s="4">
        <f>D30*$C$10</f>
        <v>0</v>
      </c>
      <c r="AB31" s="1"/>
      <c r="AC31" s="1"/>
      <c r="AD31" s="1"/>
      <c r="AE31" s="1"/>
      <c r="AF31" s="1"/>
      <c r="AG31" s="1"/>
      <c r="AH31" s="1"/>
      <c r="AI31" s="1"/>
      <c r="AJ31" s="1"/>
      <c r="AK31" s="1"/>
      <c r="AL31" s="1"/>
      <c r="AM31" s="1"/>
      <c r="AN31" s="1"/>
    </row>
    <row r="32" spans="1:40" customFormat="1" x14ac:dyDescent="0.2">
      <c r="A32" s="1"/>
      <c r="B32" s="3" t="s">
        <v>115</v>
      </c>
      <c r="C32" s="19"/>
      <c r="D32" s="19"/>
      <c r="AB32" s="1"/>
      <c r="AC32" s="1"/>
      <c r="AD32" s="1"/>
      <c r="AE32" s="1"/>
      <c r="AF32" s="1"/>
      <c r="AG32" s="1"/>
      <c r="AH32" s="1"/>
      <c r="AI32" s="1"/>
      <c r="AJ32" s="1"/>
      <c r="AK32" s="1"/>
      <c r="AL32" s="1"/>
      <c r="AM32" s="1"/>
      <c r="AN32" s="1"/>
    </row>
    <row r="33" spans="1:40" customFormat="1" x14ac:dyDescent="0.2">
      <c r="A33" s="1"/>
      <c r="B33" s="3" t="s">
        <v>117</v>
      </c>
      <c r="C33" s="13"/>
      <c r="D33" s="13"/>
      <c r="AB33" s="1"/>
      <c r="AC33" s="1"/>
      <c r="AD33" s="1"/>
      <c r="AE33" s="1"/>
      <c r="AF33" s="1"/>
      <c r="AG33" s="1"/>
      <c r="AH33" s="1"/>
      <c r="AI33" s="1"/>
      <c r="AJ33" s="1"/>
      <c r="AK33" s="1"/>
      <c r="AL33" s="1"/>
      <c r="AM33" s="1"/>
      <c r="AN33" s="1"/>
    </row>
    <row r="34" spans="1:40" customFormat="1" x14ac:dyDescent="0.2">
      <c r="A34" s="1"/>
      <c r="B34" s="1"/>
      <c r="C34" s="1"/>
      <c r="D34" s="1"/>
      <c r="AB34" s="1"/>
      <c r="AC34" s="1"/>
      <c r="AD34" s="1"/>
      <c r="AE34" s="1"/>
      <c r="AF34" s="1"/>
      <c r="AG34" s="1"/>
      <c r="AH34" s="1"/>
      <c r="AI34" s="1"/>
      <c r="AJ34" s="1"/>
      <c r="AK34" s="1"/>
      <c r="AL34" s="1"/>
      <c r="AM34" s="1"/>
      <c r="AN34" s="1"/>
    </row>
    <row r="35" spans="1:40" customFormat="1" ht="15.75" x14ac:dyDescent="0.25">
      <c r="A35" s="1"/>
      <c r="B35" s="14" t="s">
        <v>39</v>
      </c>
      <c r="C35" s="14"/>
      <c r="D35" s="14"/>
      <c r="E35" s="14"/>
      <c r="F35" s="14"/>
      <c r="G35" s="14"/>
      <c r="H35" s="14"/>
      <c r="AB35" s="1"/>
      <c r="AC35" s="1"/>
      <c r="AD35" s="1"/>
      <c r="AE35" s="1"/>
      <c r="AF35" s="1"/>
      <c r="AG35" s="1"/>
      <c r="AH35" s="1"/>
      <c r="AI35" s="1"/>
      <c r="AJ35" s="1"/>
      <c r="AK35" s="1"/>
      <c r="AL35" s="1"/>
      <c r="AM35" s="1"/>
      <c r="AN35" s="1"/>
    </row>
    <row r="37" spans="1:40" customFormat="1" ht="15.75" x14ac:dyDescent="0.25">
      <c r="A37" s="1"/>
      <c r="B37" s="8" t="s">
        <v>40</v>
      </c>
      <c r="C37" s="109" t="s">
        <v>41</v>
      </c>
      <c r="D37" s="109"/>
      <c r="E37" s="109"/>
      <c r="F37" s="109" t="s">
        <v>42</v>
      </c>
      <c r="G37" s="109"/>
      <c r="H37" s="109"/>
      <c r="I37" s="8"/>
      <c r="AB37" s="1"/>
      <c r="AC37" s="1"/>
      <c r="AD37" s="1"/>
      <c r="AE37" s="1"/>
      <c r="AF37" s="1"/>
      <c r="AG37" s="1"/>
      <c r="AH37" s="1"/>
      <c r="AI37" s="1"/>
      <c r="AJ37" s="1"/>
      <c r="AK37" s="1"/>
      <c r="AL37" s="1"/>
      <c r="AM37" s="1"/>
      <c r="AN37" s="1"/>
    </row>
    <row r="38" spans="1:40" customFormat="1" ht="15.75" x14ac:dyDescent="0.25">
      <c r="A38" s="1"/>
      <c r="B38" s="8"/>
      <c r="C38" s="8" t="s">
        <v>32</v>
      </c>
      <c r="D38" s="8" t="s">
        <v>43</v>
      </c>
      <c r="E38" s="8" t="s">
        <v>44</v>
      </c>
      <c r="F38" s="8" t="s">
        <v>32</v>
      </c>
      <c r="G38" s="8" t="s">
        <v>43</v>
      </c>
      <c r="H38" s="8" t="s">
        <v>44</v>
      </c>
      <c r="I38" s="8" t="s">
        <v>194</v>
      </c>
      <c r="AB38" s="1"/>
      <c r="AC38" s="1"/>
      <c r="AD38" s="1"/>
      <c r="AE38" s="1"/>
      <c r="AF38" s="1"/>
      <c r="AG38" s="1"/>
      <c r="AH38" s="1"/>
      <c r="AI38" s="1"/>
      <c r="AJ38" s="1"/>
      <c r="AK38" s="1"/>
      <c r="AL38" s="1"/>
      <c r="AM38" s="1"/>
      <c r="AN38" s="1"/>
    </row>
    <row r="39" spans="1:40" customFormat="1" x14ac:dyDescent="0.2">
      <c r="A39" s="1"/>
      <c r="B39" s="19" t="s">
        <v>45</v>
      </c>
      <c r="C39" s="19"/>
      <c r="D39" s="19"/>
      <c r="E39" s="12">
        <f>IFERROR(INDEX(Lists!$C$18:$G$22,MATCH($C39,Lists!$B$18:$B$22,0),MATCH($D39,Lists!$C$17:$G$17,0)),)</f>
        <v>0</v>
      </c>
      <c r="F39" s="19"/>
      <c r="G39" s="19"/>
      <c r="H39" s="12">
        <f>IFERROR(INDEX(Lists!$C$18:$G$22,MATCH($F39,Lists!$B$18:$B$22,0),MATCH($G39,Lists!$C$17:$G$17,0)),)</f>
        <v>0</v>
      </c>
      <c r="I39" s="22"/>
      <c r="AB39" s="1"/>
      <c r="AC39" s="1"/>
      <c r="AD39" s="1"/>
      <c r="AE39" s="1"/>
      <c r="AF39" s="1"/>
      <c r="AG39" s="1"/>
      <c r="AH39" s="1"/>
      <c r="AI39" s="1"/>
      <c r="AJ39" s="1"/>
      <c r="AK39" s="1"/>
      <c r="AL39" s="1"/>
      <c r="AM39" s="1"/>
      <c r="AN39" s="1"/>
    </row>
    <row r="40" spans="1:40" customFormat="1" x14ac:dyDescent="0.2">
      <c r="A40" s="1"/>
      <c r="B40" s="19" t="s">
        <v>46</v>
      </c>
      <c r="C40" s="19"/>
      <c r="D40" s="19"/>
      <c r="E40" s="12">
        <f>IFERROR(INDEX(Lists!$C$18:$G$22,MATCH($C40,Lists!$B$18:$B$22,0),MATCH($D40,Lists!$C$17:$G$17,0)),)</f>
        <v>0</v>
      </c>
      <c r="F40" s="19"/>
      <c r="G40" s="19"/>
      <c r="H40" s="12">
        <f>IFERROR(INDEX(Lists!$C$18:$G$22,MATCH($F40,Lists!$B$18:$B$22,0),MATCH($G40,Lists!$C$17:$G$17,0)),)</f>
        <v>0</v>
      </c>
      <c r="I40" s="22"/>
      <c r="AB40" s="1"/>
      <c r="AC40" s="1"/>
      <c r="AD40" s="1"/>
      <c r="AE40" s="1"/>
      <c r="AF40" s="1"/>
      <c r="AG40" s="1"/>
      <c r="AH40" s="1"/>
      <c r="AI40" s="1"/>
      <c r="AJ40" s="1"/>
      <c r="AK40" s="1"/>
      <c r="AL40" s="1"/>
      <c r="AM40" s="1"/>
      <c r="AN40" s="1"/>
    </row>
    <row r="41" spans="1:40" customFormat="1" x14ac:dyDescent="0.2">
      <c r="A41" s="1"/>
      <c r="B41" s="19" t="s">
        <v>51</v>
      </c>
      <c r="C41" s="19"/>
      <c r="D41" s="19"/>
      <c r="E41" s="12">
        <f>IFERROR(INDEX(Lists!$C$18:$G$22,MATCH($C41,Lists!$B$18:$B$22,0),MATCH($D41,Lists!$C$17:$G$17,0)),)</f>
        <v>0</v>
      </c>
      <c r="F41" s="19"/>
      <c r="G41" s="19"/>
      <c r="H41" s="12">
        <f>IFERROR(INDEX(Lists!$C$18:$G$22,MATCH($F41,Lists!$B$18:$B$22,0),MATCH($G41,Lists!$C$17:$G$17,0)),)</f>
        <v>0</v>
      </c>
      <c r="I41" s="22"/>
      <c r="AB41" s="1"/>
      <c r="AC41" s="1"/>
      <c r="AD41" s="1"/>
      <c r="AE41" s="1"/>
      <c r="AF41" s="1"/>
      <c r="AG41" s="1"/>
      <c r="AH41" s="1"/>
      <c r="AI41" s="1"/>
      <c r="AJ41" s="1"/>
      <c r="AK41" s="1"/>
      <c r="AL41" s="1"/>
      <c r="AM41" s="1"/>
      <c r="AN41" s="1"/>
    </row>
    <row r="42" spans="1:40" customFormat="1" x14ac:dyDescent="0.2">
      <c r="A42" s="1"/>
      <c r="B42" s="19" t="s">
        <v>52</v>
      </c>
      <c r="C42" s="19"/>
      <c r="D42" s="19"/>
      <c r="E42" s="12">
        <f>IFERROR(INDEX(Lists!$C$18:$G$22,MATCH($C42,Lists!$B$18:$B$22,0),MATCH($D42,Lists!$C$17:$G$17,0)),)</f>
        <v>0</v>
      </c>
      <c r="F42" s="19"/>
      <c r="G42" s="19"/>
      <c r="H42" s="12">
        <f>IFERROR(INDEX(Lists!$C$18:$G$22,MATCH($F42,Lists!$B$18:$B$22,0),MATCH($G42,Lists!$C$17:$G$17,0)),)</f>
        <v>0</v>
      </c>
      <c r="I42" s="22"/>
      <c r="AB42" s="1"/>
      <c r="AC42" s="1"/>
      <c r="AD42" s="1"/>
      <c r="AE42" s="1"/>
      <c r="AF42" s="1"/>
      <c r="AG42" s="1"/>
      <c r="AH42" s="1"/>
      <c r="AI42" s="1"/>
      <c r="AJ42" s="1"/>
      <c r="AK42" s="1"/>
      <c r="AL42" s="1"/>
      <c r="AM42" s="1"/>
      <c r="AN42" s="1"/>
    </row>
    <row r="43" spans="1:40" customFormat="1" x14ac:dyDescent="0.2">
      <c r="A43" s="1"/>
      <c r="B43" s="19" t="s">
        <v>53</v>
      </c>
      <c r="C43" s="19"/>
      <c r="D43" s="19"/>
      <c r="E43" s="12">
        <f>IFERROR(INDEX(Lists!$C$18:$G$22,MATCH($C43,Lists!$B$18:$B$22,0),MATCH($D43,Lists!$C$17:$G$17,0)),)</f>
        <v>0</v>
      </c>
      <c r="F43" s="19"/>
      <c r="G43" s="19"/>
      <c r="H43" s="12">
        <f>IFERROR(INDEX(Lists!$C$18:$G$22,MATCH($F43,Lists!$B$18:$B$22,0),MATCH($G43,Lists!$C$17:$G$17,0)),)</f>
        <v>0</v>
      </c>
      <c r="I43" s="22"/>
      <c r="AB43" s="1"/>
      <c r="AC43" s="1"/>
      <c r="AD43" s="1"/>
      <c r="AE43" s="1"/>
      <c r="AF43" s="1"/>
      <c r="AG43" s="1"/>
      <c r="AH43" s="1"/>
      <c r="AI43" s="1"/>
      <c r="AJ43" s="1"/>
      <c r="AK43" s="1"/>
      <c r="AL43" s="1"/>
      <c r="AM43" s="1"/>
      <c r="AN43" s="1"/>
    </row>
    <row r="44" spans="1:40" customFormat="1" x14ac:dyDescent="0.2">
      <c r="A44" s="1"/>
      <c r="B44" s="19" t="s">
        <v>54</v>
      </c>
      <c r="C44" s="19"/>
      <c r="D44" s="19"/>
      <c r="E44" s="12">
        <f>IFERROR(INDEX(Lists!$C$18:$G$22,MATCH($C44,Lists!$B$18:$B$22,0),MATCH($D44,Lists!$C$17:$G$17,0)),)</f>
        <v>0</v>
      </c>
      <c r="F44" s="19"/>
      <c r="G44" s="19"/>
      <c r="H44" s="12">
        <f>IFERROR(INDEX(Lists!$C$18:$G$22,MATCH($F44,Lists!$B$18:$B$22,0),MATCH($G44,Lists!$C$17:$G$17,0)),)</f>
        <v>0</v>
      </c>
      <c r="I44" s="22"/>
      <c r="AB44" s="1"/>
      <c r="AC44" s="1"/>
      <c r="AD44" s="1"/>
      <c r="AE44" s="1"/>
      <c r="AF44" s="1"/>
      <c r="AG44" s="1"/>
      <c r="AH44" s="1"/>
      <c r="AI44" s="1"/>
      <c r="AJ44" s="1"/>
      <c r="AK44" s="1"/>
      <c r="AL44" s="1"/>
      <c r="AM44" s="1"/>
      <c r="AN44" s="1"/>
    </row>
    <row r="45" spans="1:40" x14ac:dyDescent="0.2">
      <c r="I45" s="30">
        <f>SUM(I39:I44)</f>
        <v>0</v>
      </c>
    </row>
    <row r="46" spans="1:40" customFormat="1" ht="15.75" x14ac:dyDescent="0.25">
      <c r="A46" s="1"/>
      <c r="B46" s="14" t="s">
        <v>55</v>
      </c>
      <c r="C46" s="14"/>
      <c r="D46" s="14"/>
      <c r="E46" s="14"/>
      <c r="F46" s="14"/>
      <c r="G46" s="14"/>
      <c r="H46" s="14"/>
      <c r="AB46" s="1"/>
      <c r="AC46" s="1"/>
      <c r="AD46" s="1"/>
      <c r="AE46" s="1"/>
      <c r="AF46" s="1"/>
      <c r="AG46" s="1"/>
      <c r="AH46" s="1"/>
      <c r="AI46" s="1"/>
      <c r="AJ46" s="1"/>
      <c r="AK46" s="1"/>
      <c r="AL46" s="1"/>
      <c r="AM46" s="1"/>
      <c r="AN46" s="1"/>
    </row>
    <row r="48" spans="1:40" customFormat="1" ht="15.75" x14ac:dyDescent="0.25">
      <c r="A48" s="1"/>
      <c r="B48" s="8"/>
      <c r="C48" s="8"/>
      <c r="D48" s="1"/>
      <c r="AB48" s="1"/>
      <c r="AC48" s="1"/>
      <c r="AD48" s="1"/>
      <c r="AE48" s="1"/>
      <c r="AF48" s="1"/>
      <c r="AG48" s="1"/>
      <c r="AH48" s="1"/>
      <c r="AI48" s="1"/>
      <c r="AJ48" s="1"/>
      <c r="AK48" s="1"/>
      <c r="AL48" s="1"/>
      <c r="AM48" s="1"/>
      <c r="AN48" s="1"/>
    </row>
    <row r="49" spans="1:40" customFormat="1" x14ac:dyDescent="0.2">
      <c r="A49" s="1"/>
      <c r="B49" s="3" t="s">
        <v>41</v>
      </c>
      <c r="C49" s="19"/>
      <c r="D49" s="1"/>
      <c r="AB49" s="1"/>
      <c r="AC49" s="1"/>
      <c r="AD49" s="1"/>
      <c r="AE49" s="1"/>
      <c r="AF49" s="1"/>
      <c r="AG49" s="1"/>
      <c r="AH49" s="1"/>
      <c r="AI49" s="1"/>
      <c r="AJ49" s="1"/>
      <c r="AK49" s="1"/>
      <c r="AL49" s="1"/>
      <c r="AM49" s="1"/>
      <c r="AN49" s="1"/>
    </row>
    <row r="50" spans="1:40" customFormat="1" x14ac:dyDescent="0.2">
      <c r="A50" s="1"/>
      <c r="B50" s="3" t="s">
        <v>42</v>
      </c>
      <c r="C50" s="19"/>
      <c r="D50" s="1"/>
      <c r="AB50" s="1"/>
      <c r="AC50" s="1"/>
      <c r="AD50" s="1"/>
      <c r="AE50" s="1"/>
      <c r="AF50" s="1"/>
      <c r="AG50" s="1"/>
      <c r="AH50" s="1"/>
      <c r="AI50" s="1"/>
      <c r="AJ50" s="1"/>
      <c r="AK50" s="1"/>
      <c r="AL50" s="1"/>
      <c r="AM50" s="1"/>
      <c r="AN50" s="1"/>
    </row>
    <row r="52" spans="1:40" customFormat="1" ht="20.25" x14ac:dyDescent="0.3">
      <c r="A52" s="1"/>
      <c r="B52" s="18" t="s">
        <v>58</v>
      </c>
      <c r="C52" s="18"/>
      <c r="D52" s="18"/>
      <c r="E52" s="18"/>
      <c r="F52" s="18"/>
      <c r="G52" s="18"/>
      <c r="H52" s="18"/>
      <c r="AB52" s="1"/>
      <c r="AC52" s="1"/>
      <c r="AD52" s="1"/>
      <c r="AE52" s="1"/>
      <c r="AF52" s="1"/>
      <c r="AG52" s="1"/>
      <c r="AH52" s="1"/>
      <c r="AI52" s="1"/>
      <c r="AJ52" s="1"/>
      <c r="AK52" s="1"/>
      <c r="AL52" s="1"/>
      <c r="AM52" s="1"/>
      <c r="AN52" s="1"/>
    </row>
    <row r="54" spans="1:40" customFormat="1" ht="15.75" x14ac:dyDescent="0.25">
      <c r="A54" s="1"/>
      <c r="B54" s="14" t="s">
        <v>59</v>
      </c>
      <c r="C54" s="14"/>
      <c r="D54" s="14"/>
      <c r="F54" s="14" t="s">
        <v>195</v>
      </c>
      <c r="G54" s="14"/>
      <c r="H54" s="14"/>
      <c r="AB54" s="1"/>
      <c r="AC54" s="1"/>
      <c r="AD54" s="1"/>
      <c r="AE54" s="1"/>
      <c r="AF54" s="1"/>
      <c r="AG54" s="1"/>
      <c r="AH54" s="1"/>
      <c r="AI54" s="1"/>
      <c r="AJ54" s="1"/>
      <c r="AK54" s="1"/>
      <c r="AL54" s="1"/>
      <c r="AM54" s="1"/>
      <c r="AN54" s="1"/>
    </row>
    <row r="55" spans="1:40" customFormat="1" x14ac:dyDescent="0.2">
      <c r="A55" s="1"/>
      <c r="B55" s="1"/>
      <c r="C55" s="1"/>
      <c r="D55" s="1"/>
      <c r="F55" s="1"/>
      <c r="G55" s="1"/>
      <c r="AB55" s="1"/>
      <c r="AC55" s="1"/>
      <c r="AD55" s="1"/>
      <c r="AE55" s="1"/>
      <c r="AF55" s="1"/>
      <c r="AG55" s="1"/>
      <c r="AH55" s="1"/>
      <c r="AI55" s="1"/>
      <c r="AJ55" s="1"/>
      <c r="AK55" s="1"/>
      <c r="AL55" s="1"/>
      <c r="AM55" s="1"/>
      <c r="AN55" s="1"/>
    </row>
    <row r="56" spans="1:40" customFormat="1" ht="15.75" x14ac:dyDescent="0.25">
      <c r="A56" s="1"/>
      <c r="B56" s="8"/>
      <c r="C56" s="23" t="s">
        <v>14</v>
      </c>
      <c r="D56" s="23" t="s">
        <v>15</v>
      </c>
      <c r="F56" s="8"/>
      <c r="G56" s="23" t="s">
        <v>14</v>
      </c>
      <c r="H56" s="23" t="s">
        <v>15</v>
      </c>
      <c r="AB56" s="1"/>
      <c r="AC56" s="1"/>
      <c r="AD56" s="1"/>
      <c r="AE56" s="1"/>
      <c r="AF56" s="1"/>
      <c r="AG56" s="1"/>
      <c r="AH56" s="1"/>
      <c r="AI56" s="1"/>
      <c r="AJ56" s="1"/>
      <c r="AK56" s="1"/>
      <c r="AL56" s="1"/>
      <c r="AM56" s="1"/>
      <c r="AN56" s="1"/>
    </row>
    <row r="57" spans="1:40" customFormat="1" x14ac:dyDescent="0.2">
      <c r="A57" s="1"/>
      <c r="B57" s="25" t="s">
        <v>199</v>
      </c>
      <c r="C57" s="24">
        <f>Calculations!C40</f>
        <v>0</v>
      </c>
      <c r="D57" s="24">
        <f>Calculations!C46</f>
        <v>0</v>
      </c>
      <c r="F57" s="3" t="s">
        <v>196</v>
      </c>
      <c r="G57" s="24">
        <f>MAX(E39:E44)</f>
        <v>0</v>
      </c>
      <c r="H57" s="24">
        <f>MAX(H39:H44)</f>
        <v>0</v>
      </c>
      <c r="AB57" s="1"/>
      <c r="AC57" s="1"/>
      <c r="AD57" s="1"/>
      <c r="AE57" s="1"/>
      <c r="AF57" s="1"/>
      <c r="AG57" s="1"/>
      <c r="AH57" s="1"/>
      <c r="AI57" s="1"/>
      <c r="AJ57" s="1"/>
      <c r="AK57" s="1"/>
      <c r="AL57" s="1"/>
      <c r="AM57" s="1"/>
      <c r="AN57" s="1"/>
    </row>
    <row r="58" spans="1:40" customFormat="1" x14ac:dyDescent="0.2">
      <c r="A58" s="1"/>
      <c r="B58" s="25" t="s">
        <v>204</v>
      </c>
      <c r="C58" s="24">
        <f>Calculations!C41</f>
        <v>0</v>
      </c>
      <c r="D58" s="24">
        <f>Calculations!C47</f>
        <v>0</v>
      </c>
      <c r="F58" s="3" t="s">
        <v>197</v>
      </c>
      <c r="G58" s="24">
        <f>SUMPRODUCT(E39:E44,$I$39:$I$44)</f>
        <v>0</v>
      </c>
      <c r="H58" s="24">
        <f>SUMPRODUCT(H39:H44,$I$39:$I$44)</f>
        <v>0</v>
      </c>
      <c r="AB58" s="1"/>
      <c r="AC58" s="1"/>
      <c r="AD58" s="1"/>
      <c r="AE58" s="1"/>
      <c r="AF58" s="1"/>
      <c r="AG58" s="1"/>
      <c r="AH58" s="1"/>
      <c r="AI58" s="1"/>
      <c r="AJ58" s="1"/>
      <c r="AK58" s="1"/>
      <c r="AL58" s="1"/>
      <c r="AM58" s="1"/>
      <c r="AN58" s="1"/>
    </row>
    <row r="59" spans="1:40" customFormat="1" x14ac:dyDescent="0.2">
      <c r="A59" s="1"/>
      <c r="B59" s="25" t="s">
        <v>201</v>
      </c>
      <c r="C59" s="24">
        <f>Calculations!C42</f>
        <v>0</v>
      </c>
      <c r="D59" s="24">
        <f>Calculations!C48</f>
        <v>0</v>
      </c>
      <c r="F59" s="1"/>
      <c r="G59" s="1"/>
      <c r="H59" s="1"/>
      <c r="AB59" s="1"/>
      <c r="AC59" s="1"/>
      <c r="AD59" s="1"/>
      <c r="AE59" s="1"/>
      <c r="AF59" s="1"/>
      <c r="AG59" s="1"/>
      <c r="AH59" s="1"/>
      <c r="AI59" s="1"/>
      <c r="AJ59" s="1"/>
      <c r="AK59" s="1"/>
      <c r="AL59" s="1"/>
      <c r="AM59" s="1"/>
      <c r="AN59" s="1"/>
    </row>
    <row r="60" spans="1:40" customFormat="1" ht="15.75" x14ac:dyDescent="0.25">
      <c r="A60" s="1"/>
      <c r="B60" s="25" t="s">
        <v>123</v>
      </c>
      <c r="C60" s="24">
        <f>Calculations!C27</f>
        <v>0</v>
      </c>
      <c r="D60" s="24">
        <f>Calculations!C28</f>
        <v>0</v>
      </c>
      <c r="F60" s="14" t="s">
        <v>198</v>
      </c>
      <c r="G60" s="14"/>
      <c r="H60" s="14"/>
      <c r="AB60" s="1"/>
      <c r="AC60" s="1"/>
      <c r="AD60" s="1"/>
      <c r="AE60" s="1"/>
      <c r="AF60" s="1"/>
      <c r="AG60" s="1"/>
      <c r="AH60" s="1"/>
      <c r="AI60" s="1"/>
      <c r="AJ60" s="1"/>
      <c r="AK60" s="1"/>
      <c r="AL60" s="1"/>
      <c r="AM60" s="1"/>
      <c r="AN60" s="1"/>
    </row>
    <row r="61" spans="1:40" customFormat="1" x14ac:dyDescent="0.2">
      <c r="A61" s="1"/>
      <c r="B61" s="3" t="s">
        <v>125</v>
      </c>
      <c r="C61" s="24">
        <f>Calculations!C16</f>
        <v>0</v>
      </c>
      <c r="D61" s="24">
        <f>Calculations!C17</f>
        <v>0</v>
      </c>
      <c r="AB61" s="1"/>
      <c r="AC61" s="1"/>
      <c r="AD61" s="1"/>
      <c r="AE61" s="1"/>
      <c r="AF61" s="1"/>
      <c r="AG61" s="1"/>
      <c r="AH61" s="1"/>
      <c r="AI61" s="1"/>
      <c r="AJ61" s="1"/>
      <c r="AK61" s="1"/>
      <c r="AL61" s="1"/>
      <c r="AM61" s="1"/>
      <c r="AN61" s="1"/>
    </row>
    <row r="62" spans="1:40" customFormat="1" ht="15.75" x14ac:dyDescent="0.25">
      <c r="A62" s="1"/>
      <c r="B62" s="26" t="s">
        <v>29</v>
      </c>
      <c r="C62" s="27">
        <f>SUM(C57:C61)</f>
        <v>0</v>
      </c>
      <c r="D62" s="27">
        <f>SUM(D57:D61)</f>
        <v>0</v>
      </c>
      <c r="F62" s="8"/>
      <c r="G62" s="23" t="s">
        <v>14</v>
      </c>
      <c r="H62" s="23" t="s">
        <v>15</v>
      </c>
      <c r="AB62" s="1"/>
      <c r="AC62" s="1"/>
      <c r="AD62" s="1"/>
      <c r="AE62" s="1"/>
      <c r="AF62" s="1"/>
      <c r="AG62" s="1"/>
      <c r="AH62" s="1"/>
      <c r="AI62" s="1"/>
      <c r="AJ62" s="1"/>
      <c r="AK62" s="1"/>
      <c r="AL62" s="1"/>
      <c r="AM62" s="1"/>
      <c r="AN62" s="1"/>
    </row>
    <row r="63" spans="1:40" customFormat="1" x14ac:dyDescent="0.2">
      <c r="A63" s="1"/>
      <c r="B63" s="1"/>
      <c r="C63" s="1"/>
      <c r="D63" s="1"/>
      <c r="F63" s="3" t="s">
        <v>55</v>
      </c>
      <c r="G63" s="24">
        <f>C49</f>
        <v>0</v>
      </c>
      <c r="H63" s="24">
        <f>C50</f>
        <v>0</v>
      </c>
      <c r="AB63" s="1"/>
      <c r="AC63" s="1"/>
      <c r="AD63" s="1"/>
      <c r="AE63" s="1"/>
      <c r="AF63" s="1"/>
      <c r="AG63" s="1"/>
      <c r="AH63" s="1"/>
      <c r="AI63" s="1"/>
      <c r="AJ63" s="1"/>
      <c r="AK63" s="1"/>
      <c r="AL63" s="1"/>
      <c r="AM63" s="1"/>
      <c r="AN63" s="1"/>
    </row>
    <row r="64" spans="1:40" ht="15.75" x14ac:dyDescent="0.25">
      <c r="B64" s="8" t="s">
        <v>177</v>
      </c>
      <c r="C64" s="8" t="s">
        <v>18</v>
      </c>
    </row>
    <row r="65" spans="2:5" x14ac:dyDescent="0.2">
      <c r="B65" s="25" t="s">
        <v>202</v>
      </c>
      <c r="C65" s="24">
        <f>Calculations!C52</f>
        <v>0</v>
      </c>
    </row>
    <row r="66" spans="2:5" x14ac:dyDescent="0.2">
      <c r="B66" s="25" t="s">
        <v>176</v>
      </c>
      <c r="C66" s="24">
        <f>Calculations!C53</f>
        <v>0</v>
      </c>
    </row>
    <row r="67" spans="2:5" x14ac:dyDescent="0.2">
      <c r="B67" s="25" t="s">
        <v>16</v>
      </c>
      <c r="C67" s="24">
        <f>Calculations!C54</f>
        <v>0</v>
      </c>
    </row>
    <row r="68" spans="2:5" x14ac:dyDescent="0.2">
      <c r="B68" s="25" t="s">
        <v>203</v>
      </c>
      <c r="C68" s="24">
        <f>Calculations!C29</f>
        <v>0</v>
      </c>
    </row>
    <row r="69" spans="2:5" ht="15.75" x14ac:dyDescent="0.25">
      <c r="B69" s="26" t="s">
        <v>60</v>
      </c>
      <c r="C69" s="27">
        <f>SUM(C65:C68)</f>
        <v>0</v>
      </c>
    </row>
    <row r="70" spans="2:5" x14ac:dyDescent="0.2">
      <c r="B70" s="3" t="s">
        <v>61</v>
      </c>
      <c r="C70" s="24">
        <f>-Calculations!C18</f>
        <v>0</v>
      </c>
    </row>
    <row r="71" spans="2:5" ht="15.75" x14ac:dyDescent="0.25">
      <c r="B71" s="26" t="s">
        <v>62</v>
      </c>
      <c r="C71" s="27">
        <f>-Calculations!C18</f>
        <v>0</v>
      </c>
      <c r="E71" s="1"/>
    </row>
    <row r="72" spans="2:5" ht="15.75" x14ac:dyDescent="0.25">
      <c r="B72" s="26" t="s">
        <v>18</v>
      </c>
      <c r="C72" s="27">
        <f>C69-C71</f>
        <v>0</v>
      </c>
      <c r="E72" s="1"/>
    </row>
    <row r="73" spans="2:5" ht="15.75" x14ac:dyDescent="0.25">
      <c r="B73" s="26" t="s">
        <v>19</v>
      </c>
      <c r="C73" s="28" t="e">
        <f>C69/C71</f>
        <v>#DIV/0!</v>
      </c>
      <c r="E73" s="1"/>
    </row>
    <row r="74" spans="2:5" x14ac:dyDescent="0.2">
      <c r="E74" s="1"/>
    </row>
    <row r="75" spans="2:5" ht="15.75" x14ac:dyDescent="0.25">
      <c r="B75" s="14" t="s">
        <v>63</v>
      </c>
      <c r="C75" s="14"/>
      <c r="D75" s="14"/>
      <c r="E75" s="14"/>
    </row>
    <row r="77" spans="2:5" ht="15.75" x14ac:dyDescent="0.25">
      <c r="B77" s="8"/>
      <c r="C77" s="23" t="s">
        <v>14</v>
      </c>
      <c r="D77" s="23" t="s">
        <v>15</v>
      </c>
      <c r="E77" s="8" t="s">
        <v>124</v>
      </c>
    </row>
    <row r="78" spans="2:5" x14ac:dyDescent="0.2">
      <c r="B78" s="3" t="s">
        <v>64</v>
      </c>
      <c r="C78" s="93">
        <f>Calculations!C63</f>
        <v>0</v>
      </c>
      <c r="D78" s="93">
        <f>Calculations!C64</f>
        <v>0</v>
      </c>
      <c r="E78" s="93">
        <f>Calculations!C65</f>
        <v>0</v>
      </c>
    </row>
    <row r="79" spans="2:5" x14ac:dyDescent="0.2">
      <c r="B79" s="3" t="s">
        <v>65</v>
      </c>
      <c r="C79" s="24">
        <f>Calculations!C71</f>
        <v>0</v>
      </c>
      <c r="D79" s="24">
        <f>Calculations!C72</f>
        <v>0</v>
      </c>
      <c r="E79" s="24">
        <f>Calculations!C73</f>
        <v>0</v>
      </c>
    </row>
  </sheetData>
  <mergeCells count="2">
    <mergeCell ref="C37:E37"/>
    <mergeCell ref="F37:H3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E045DBB7-5ACB-4AE3-A447-CA31AEE36F01}">
          <x14:formula1>
            <xm:f>Lists!$C$17:$G$17</xm:f>
          </x14:formula1>
          <xm:sqref>D39:D44 G39:G44</xm:sqref>
        </x14:dataValidation>
        <x14:dataValidation type="list" allowBlank="1" showInputMessage="1" showErrorMessage="1" xr:uid="{51DD9B24-5D4C-448B-9DF0-F41F0E04275A}">
          <x14:formula1>
            <xm:f>Lists!$B$18:$B$22</xm:f>
          </x14:formula1>
          <xm:sqref>C39:C44 F39:F44</xm:sqref>
        </x14:dataValidation>
        <x14:dataValidation type="list" allowBlank="1" showInputMessage="1" showErrorMessage="1" xr:uid="{087D480F-D349-416C-80B5-341D16BAB359}">
          <x14:formula1>
            <xm:f>Lists!$E$9:$E$10</xm:f>
          </x14:formula1>
          <xm:sqref>C12</xm:sqref>
        </x14:dataValidation>
        <x14:dataValidation type="list" allowBlank="1" showInputMessage="1" showErrorMessage="1" xr:uid="{6697A055-5B21-4706-AE2E-704A3D11F313}">
          <x14:formula1>
            <xm:f>Lists!$F$9:$F$13</xm:f>
          </x14:formula1>
          <xm:sqref>C13</xm:sqref>
        </x14:dataValidation>
        <x14:dataValidation type="list" allowBlank="1" showInputMessage="1" showErrorMessage="1" xr:uid="{F2FEB3F1-9673-4E49-9FCD-E7E9E6F7C034}">
          <x14:formula1>
            <xm:f>Lists!$B$9:$B$10</xm:f>
          </x14:formula1>
          <xm:sqref>C9</xm:sqref>
        </x14:dataValidation>
        <x14:dataValidation type="list" allowBlank="1" showInputMessage="1" showErrorMessage="1" xr:uid="{60E6A953-2B3B-4A55-8F5C-72EFA21064A3}">
          <x14:formula1>
            <xm:f>Lists!G$9:G$13</xm:f>
          </x14:formula1>
          <xm:sqref>C49:C50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3441C-AC5E-4ECB-B364-74156375B9C7}">
  <sheetPr>
    <tabColor rgb="FF99FFCC"/>
  </sheetPr>
  <dimension ref="A1:AA73"/>
  <sheetViews>
    <sheetView showGridLines="0" zoomScale="70" zoomScaleNormal="70" workbookViewId="0">
      <selection activeCell="C35" sqref="C35"/>
    </sheetView>
  </sheetViews>
  <sheetFormatPr defaultColWidth="8.88671875" defaultRowHeight="15" x14ac:dyDescent="0.2"/>
  <cols>
    <col min="1" max="1" width="18.5546875" style="1" customWidth="1"/>
    <col min="2" max="2" width="45.33203125" style="1" customWidth="1"/>
    <col min="3" max="3" width="16.88671875" style="1" customWidth="1"/>
    <col min="4" max="4" width="13.109375" style="1" customWidth="1"/>
    <col min="5" max="11" width="9.88671875" customWidth="1"/>
    <col min="12" max="12" width="10.109375" customWidth="1"/>
    <col min="13" max="13" width="9.88671875" customWidth="1"/>
    <col min="14" max="27" width="8.77734375" customWidth="1"/>
    <col min="28" max="16384" width="8.88671875" style="1"/>
  </cols>
  <sheetData>
    <row r="1" spans="1:13" ht="18" x14ac:dyDescent="0.25">
      <c r="A1" s="2" t="str">
        <f ca="1">MID(CELL("filename",A2),FIND("]",CELL("filename",A2))+1,256)</f>
        <v>Calculations</v>
      </c>
    </row>
    <row r="2" spans="1:13" x14ac:dyDescent="0.2">
      <c r="A2" s="5" t="s">
        <v>0</v>
      </c>
    </row>
    <row r="4" spans="1:13" customFormat="1" ht="21" x14ac:dyDescent="0.35">
      <c r="A4" s="1"/>
      <c r="B4" s="7" t="s">
        <v>177</v>
      </c>
      <c r="C4" s="7"/>
      <c r="D4" s="7"/>
      <c r="E4" s="7"/>
      <c r="F4" s="7"/>
      <c r="G4" s="7"/>
      <c r="H4" s="7"/>
      <c r="I4" s="7"/>
      <c r="J4" s="7"/>
      <c r="K4" s="7"/>
      <c r="L4" s="7"/>
      <c r="M4" s="7"/>
    </row>
    <row r="5" spans="1:13" customFormat="1" x14ac:dyDescent="0.2">
      <c r="A5" s="1"/>
      <c r="B5" s="1"/>
      <c r="C5" s="1"/>
      <c r="D5" s="1"/>
      <c r="E5" s="1"/>
    </row>
    <row r="6" spans="1:13" customFormat="1" ht="15.75" x14ac:dyDescent="0.25">
      <c r="A6" s="1"/>
      <c r="B6" s="14" t="s">
        <v>8</v>
      </c>
      <c r="C6" s="14"/>
      <c r="D6" s="14"/>
      <c r="E6" s="14"/>
      <c r="F6" s="14"/>
      <c r="G6" s="14"/>
      <c r="H6" s="14"/>
      <c r="I6" s="14"/>
      <c r="J6" s="14"/>
      <c r="K6" s="14"/>
      <c r="L6" s="14"/>
      <c r="M6" s="14"/>
    </row>
    <row r="7" spans="1:13" customFormat="1" x14ac:dyDescent="0.2">
      <c r="A7" s="1"/>
      <c r="B7" s="1"/>
      <c r="C7" s="1"/>
      <c r="D7" s="1"/>
      <c r="E7" s="1"/>
    </row>
    <row r="8" spans="1:13" customFormat="1" ht="15.75" x14ac:dyDescent="0.25">
      <c r="A8" s="1"/>
      <c r="B8" s="8"/>
      <c r="C8" s="8" t="s">
        <v>18</v>
      </c>
      <c r="D8" s="8">
        <v>2021</v>
      </c>
      <c r="E8" s="8">
        <v>2022</v>
      </c>
      <c r="F8" s="8">
        <v>2023</v>
      </c>
      <c r="G8" s="8">
        <v>2024</v>
      </c>
      <c r="H8" s="8">
        <v>2025</v>
      </c>
      <c r="I8" s="8">
        <v>2026</v>
      </c>
      <c r="J8" s="8">
        <v>2027</v>
      </c>
      <c r="K8" s="8">
        <v>2028</v>
      </c>
      <c r="L8" s="8">
        <v>2029</v>
      </c>
      <c r="M8" s="8">
        <v>2030</v>
      </c>
    </row>
    <row r="9" spans="1:13" customFormat="1" x14ac:dyDescent="0.2">
      <c r="A9" s="1"/>
      <c r="B9" s="3" t="s">
        <v>154</v>
      </c>
      <c r="C9" s="12">
        <f>NPV(Discount_Rate,E9:M9)+D9</f>
        <v>0</v>
      </c>
      <c r="D9" s="40">
        <f>AADT*365</f>
        <v>0</v>
      </c>
      <c r="E9" s="42">
        <f t="shared" ref="E9:M9" si="0">D9*(1+Traffic_Growth)</f>
        <v>0</v>
      </c>
      <c r="F9" s="43">
        <f t="shared" si="0"/>
        <v>0</v>
      </c>
      <c r="G9" s="43">
        <f t="shared" si="0"/>
        <v>0</v>
      </c>
      <c r="H9" s="43">
        <f t="shared" si="0"/>
        <v>0</v>
      </c>
      <c r="I9" s="43">
        <f t="shared" si="0"/>
        <v>0</v>
      </c>
      <c r="J9" s="43">
        <f t="shared" si="0"/>
        <v>0</v>
      </c>
      <c r="K9" s="43">
        <f t="shared" si="0"/>
        <v>0</v>
      </c>
      <c r="L9" s="43">
        <f t="shared" si="0"/>
        <v>0</v>
      </c>
      <c r="M9" s="44">
        <f t="shared" si="0"/>
        <v>0</v>
      </c>
    </row>
    <row r="10" spans="1:13" customFormat="1" x14ac:dyDescent="0.2">
      <c r="A10" s="84"/>
      <c r="B10" s="3" t="s">
        <v>181</v>
      </c>
      <c r="C10" s="12">
        <f>NPV(Discount_Rate,E10:M10)+D10</f>
        <v>0</v>
      </c>
      <c r="D10" s="42">
        <f>'User interface'!$C$31*'User interface'!$C$32*D9/(24*365)</f>
        <v>0</v>
      </c>
      <c r="E10" s="43">
        <f>'User interface'!$C$31*'User interface'!$C$32*E9/(24*365)</f>
        <v>0</v>
      </c>
      <c r="F10" s="43">
        <f>'User interface'!$C$31*'User interface'!$C$32*F9/(24*365)</f>
        <v>0</v>
      </c>
      <c r="G10" s="43">
        <f>'User interface'!$C$31*'User interface'!$C$32*G9/(24*365)</f>
        <v>0</v>
      </c>
      <c r="H10" s="43">
        <f>'User interface'!$C$31*'User interface'!$C$32*H9/(24*365)</f>
        <v>0</v>
      </c>
      <c r="I10" s="43">
        <f>'User interface'!$C$31*'User interface'!$C$32*I9/(24*365)</f>
        <v>0</v>
      </c>
      <c r="J10" s="43">
        <f>'User interface'!$C$31*'User interface'!$C$32*J9/(24*365)</f>
        <v>0</v>
      </c>
      <c r="K10" s="43">
        <f>'User interface'!$C$31*'User interface'!$C$32*K9/(24*365)</f>
        <v>0</v>
      </c>
      <c r="L10" s="43">
        <f>'User interface'!$C$31*'User interface'!$C$32*L9/(24*365)</f>
        <v>0</v>
      </c>
      <c r="M10" s="44">
        <f>'User interface'!$C$31*'User interface'!$C$32*M9/(24*365)</f>
        <v>0</v>
      </c>
    </row>
    <row r="11" spans="1:13" customFormat="1" x14ac:dyDescent="0.2">
      <c r="A11" s="1"/>
      <c r="B11" s="3" t="s">
        <v>182</v>
      </c>
      <c r="C11" s="12">
        <f>NPV(Discount_Rate,E11:M11)+D11</f>
        <v>0</v>
      </c>
      <c r="D11" s="42">
        <f>IF(BenefitYear&lt;=D8,'User interface'!$D$31*'User interface'!$D$32*D9/(24*365),D10)</f>
        <v>0</v>
      </c>
      <c r="E11" s="43">
        <f>IF(BenefitYear&lt;=E8,'User interface'!$D$31*'User interface'!$D$32*E9/(24*365),E10)</f>
        <v>0</v>
      </c>
      <c r="F11" s="43">
        <f>IF(BenefitYear&lt;=F8,'User interface'!$D$31*'User interface'!$D$32*F9/(24*365),F10)</f>
        <v>0</v>
      </c>
      <c r="G11" s="43">
        <f>IF(BenefitYear&lt;=G8,'User interface'!$D$31*'User interface'!$D$32*G9/(24*365),G10)</f>
        <v>0</v>
      </c>
      <c r="H11" s="43">
        <f>IF(BenefitYear&lt;=H8,'User interface'!$D$31*'User interface'!$D$32*H9/(24*365),H10)</f>
        <v>0</v>
      </c>
      <c r="I11" s="43">
        <f>IF(BenefitYear&lt;=I8,'User interface'!$D$31*'User interface'!$D$32*I9/(24*365),I10)</f>
        <v>0</v>
      </c>
      <c r="J11" s="43">
        <f>IF(BenefitYear&lt;=J8,'User interface'!$D$31*'User interface'!$D$32*J9/(24*365),J10)</f>
        <v>0</v>
      </c>
      <c r="K11" s="43">
        <f>IF(BenefitYear&lt;=K8,'User interface'!$D$31*'User interface'!$D$32*K9/(24*365),K10)</f>
        <v>0</v>
      </c>
      <c r="L11" s="43">
        <f>IF(BenefitYear&lt;=L8,'User interface'!$D$31*'User interface'!$D$32*L9/(24*365),L10)</f>
        <v>0</v>
      </c>
      <c r="M11" s="44">
        <f>IF(BenefitYear&lt;=M8,'User interface'!$D$31*'User interface'!$D$32*M9/(24*365),M10)</f>
        <v>0</v>
      </c>
    </row>
    <row r="12" spans="1:13" customFormat="1" x14ac:dyDescent="0.2">
      <c r="A12" s="1"/>
      <c r="B12" s="1"/>
      <c r="C12" s="1"/>
      <c r="D12" s="1"/>
      <c r="E12" s="1"/>
    </row>
    <row r="13" spans="1:13" customFormat="1" ht="15.75" x14ac:dyDescent="0.25">
      <c r="A13" s="1"/>
      <c r="B13" s="14" t="s">
        <v>125</v>
      </c>
      <c r="C13" s="14"/>
      <c r="D13" s="14"/>
      <c r="E13" s="14"/>
      <c r="F13" s="14"/>
      <c r="G13" s="14"/>
      <c r="H13" s="14"/>
      <c r="I13" s="14"/>
      <c r="J13" s="14"/>
      <c r="K13" s="14"/>
      <c r="L13" s="14"/>
      <c r="M13" s="14"/>
    </row>
    <row r="14" spans="1:13" customFormat="1" x14ac:dyDescent="0.2">
      <c r="A14" s="1"/>
      <c r="B14" s="1"/>
      <c r="C14" s="1"/>
      <c r="D14" s="1"/>
      <c r="E14" s="1"/>
    </row>
    <row r="15" spans="1:13" customFormat="1" ht="15.75" x14ac:dyDescent="0.25">
      <c r="A15" s="1"/>
      <c r="B15" s="8"/>
      <c r="C15" s="8" t="s">
        <v>18</v>
      </c>
      <c r="D15" s="8">
        <v>2021</v>
      </c>
      <c r="E15" s="8">
        <v>2022</v>
      </c>
      <c r="F15" s="8">
        <v>2023</v>
      </c>
      <c r="G15" s="8">
        <v>2024</v>
      </c>
      <c r="H15" s="8">
        <v>2025</v>
      </c>
      <c r="I15" s="8">
        <v>2026</v>
      </c>
      <c r="J15" s="8">
        <v>2027</v>
      </c>
      <c r="K15" s="8">
        <v>2028</v>
      </c>
      <c r="L15" s="8">
        <v>2029</v>
      </c>
      <c r="M15" s="8">
        <v>2030</v>
      </c>
    </row>
    <row r="16" spans="1:13" customFormat="1" x14ac:dyDescent="0.2">
      <c r="A16" s="1"/>
      <c r="B16" s="3" t="s">
        <v>14</v>
      </c>
      <c r="C16" s="12">
        <f>NPV(Discount_Rate,E16:M16)+D16</f>
        <v>0</v>
      </c>
      <c r="D16" s="42">
        <f>'User interface'!C19</f>
        <v>0</v>
      </c>
      <c r="E16" s="43">
        <f>'User interface'!D19</f>
        <v>0</v>
      </c>
      <c r="F16" s="43">
        <f>'User interface'!E19</f>
        <v>0</v>
      </c>
      <c r="G16" s="43">
        <f>'User interface'!F19</f>
        <v>0</v>
      </c>
      <c r="H16" s="43">
        <f>'User interface'!G19</f>
        <v>0</v>
      </c>
      <c r="I16" s="43">
        <f>'User interface'!H19</f>
        <v>0</v>
      </c>
      <c r="J16" s="43">
        <f>'User interface'!I19</f>
        <v>0</v>
      </c>
      <c r="K16" s="43">
        <f>'User interface'!J19</f>
        <v>0</v>
      </c>
      <c r="L16" s="43">
        <f>'User interface'!K19</f>
        <v>0</v>
      </c>
      <c r="M16" s="44">
        <f>'User interface'!L19</f>
        <v>0</v>
      </c>
    </row>
    <row r="17" spans="1:13" customFormat="1" x14ac:dyDescent="0.2">
      <c r="A17" s="1"/>
      <c r="B17" s="3" t="s">
        <v>15</v>
      </c>
      <c r="C17" s="12">
        <f>NPV(Discount_Rate,E17:M17)+D17</f>
        <v>0</v>
      </c>
      <c r="D17" s="42">
        <f>'User interface'!C25</f>
        <v>0</v>
      </c>
      <c r="E17" s="43">
        <f>'User interface'!D25</f>
        <v>0</v>
      </c>
      <c r="F17" s="43">
        <f>'User interface'!E25</f>
        <v>0</v>
      </c>
      <c r="G17" s="43">
        <f>'User interface'!F25</f>
        <v>0</v>
      </c>
      <c r="H17" s="43">
        <f>'User interface'!G25</f>
        <v>0</v>
      </c>
      <c r="I17" s="43">
        <f>'User interface'!H25</f>
        <v>0</v>
      </c>
      <c r="J17" s="43">
        <f>'User interface'!I25</f>
        <v>0</v>
      </c>
      <c r="K17" s="43">
        <f>'User interface'!J25</f>
        <v>0</v>
      </c>
      <c r="L17" s="43">
        <f>'User interface'!K25</f>
        <v>0</v>
      </c>
      <c r="M17" s="44">
        <f>'User interface'!L25</f>
        <v>0</v>
      </c>
    </row>
    <row r="18" spans="1:13" customFormat="1" x14ac:dyDescent="0.2">
      <c r="A18" s="1"/>
      <c r="B18" s="3" t="s">
        <v>124</v>
      </c>
      <c r="C18" s="12">
        <f>NPV(Discount_Rate,E18:M18)+D18</f>
        <v>0</v>
      </c>
      <c r="D18" s="42">
        <f>D16-D17</f>
        <v>0</v>
      </c>
      <c r="E18" s="43">
        <f t="shared" ref="E18" si="1">E16-E17</f>
        <v>0</v>
      </c>
      <c r="F18" s="43">
        <f t="shared" ref="F18" si="2">F16-F17</f>
        <v>0</v>
      </c>
      <c r="G18" s="43">
        <f t="shared" ref="G18" si="3">G16-G17</f>
        <v>0</v>
      </c>
      <c r="H18" s="43">
        <f t="shared" ref="H18" si="4">H16-H17</f>
        <v>0</v>
      </c>
      <c r="I18" s="43">
        <f t="shared" ref="I18" si="5">I16-I17</f>
        <v>0</v>
      </c>
      <c r="J18" s="43">
        <f t="shared" ref="J18" si="6">J16-J17</f>
        <v>0</v>
      </c>
      <c r="K18" s="43">
        <f t="shared" ref="K18" si="7">K16-K17</f>
        <v>0</v>
      </c>
      <c r="L18" s="43">
        <f t="shared" ref="L18" si="8">L16-L17</f>
        <v>0</v>
      </c>
      <c r="M18" s="44">
        <f t="shared" ref="M18" si="9">M16-M17</f>
        <v>0</v>
      </c>
    </row>
    <row r="19" spans="1:13" customFormat="1" x14ac:dyDescent="0.2">
      <c r="A19" s="1"/>
      <c r="B19" s="1"/>
      <c r="C19" s="1"/>
      <c r="D19" s="1"/>
      <c r="E19" s="1"/>
    </row>
    <row r="20" spans="1:13" customFormat="1" ht="15.75" x14ac:dyDescent="0.25">
      <c r="A20" s="1"/>
      <c r="B20" s="14" t="s">
        <v>123</v>
      </c>
      <c r="C20" s="14"/>
      <c r="D20" s="14"/>
      <c r="E20" s="14"/>
      <c r="F20" s="14"/>
      <c r="G20" s="14"/>
      <c r="H20" s="14"/>
      <c r="I20" s="14"/>
      <c r="J20" s="14"/>
      <c r="K20" s="14"/>
      <c r="L20" s="14"/>
      <c r="M20" s="14"/>
    </row>
    <row r="21" spans="1:13" customFormat="1" x14ac:dyDescent="0.2">
      <c r="A21" s="1"/>
      <c r="B21" s="1"/>
      <c r="C21" s="1"/>
      <c r="D21" s="1"/>
      <c r="E21" s="1"/>
    </row>
    <row r="22" spans="1:13" customFormat="1" ht="15.75" x14ac:dyDescent="0.25">
      <c r="A22" s="1"/>
      <c r="B22" s="8"/>
      <c r="C22" s="8" t="s">
        <v>14</v>
      </c>
      <c r="D22" s="8" t="s">
        <v>15</v>
      </c>
      <c r="E22" s="1"/>
    </row>
    <row r="23" spans="1:13" customFormat="1" x14ac:dyDescent="0.2">
      <c r="A23" s="1"/>
      <c r="B23" s="3" t="s">
        <v>184</v>
      </c>
      <c r="C23" s="12">
        <f>'User interface'!C31</f>
        <v>0</v>
      </c>
      <c r="D23" s="12">
        <f>'User interface'!D31</f>
        <v>0</v>
      </c>
      <c r="E23" s="1"/>
    </row>
    <row r="24" spans="1:13" customFormat="1" x14ac:dyDescent="0.2">
      <c r="A24" s="1"/>
      <c r="B24" s="3" t="s">
        <v>121</v>
      </c>
      <c r="C24" s="12">
        <f>'User interface'!C33</f>
        <v>0</v>
      </c>
      <c r="D24" s="12">
        <f>'User interface'!D33</f>
        <v>0</v>
      </c>
      <c r="E24" s="1"/>
    </row>
    <row r="25" spans="1:13" customFormat="1" x14ac:dyDescent="0.2">
      <c r="A25" s="1"/>
      <c r="B25" s="1"/>
      <c r="C25" s="1"/>
      <c r="D25" s="1"/>
      <c r="E25" s="1"/>
    </row>
    <row r="26" spans="1:13" customFormat="1" ht="15.75" x14ac:dyDescent="0.25">
      <c r="A26" s="1"/>
      <c r="B26" s="8"/>
      <c r="C26" s="8" t="s">
        <v>18</v>
      </c>
      <c r="D26" s="8">
        <v>2021</v>
      </c>
      <c r="E26" s="8">
        <v>2022</v>
      </c>
      <c r="F26" s="8">
        <v>2023</v>
      </c>
      <c r="G26" s="8">
        <v>2024</v>
      </c>
      <c r="H26" s="8">
        <v>2025</v>
      </c>
      <c r="I26" s="8">
        <v>2026</v>
      </c>
      <c r="J26" s="8">
        <v>2027</v>
      </c>
      <c r="K26" s="8">
        <v>2028</v>
      </c>
      <c r="L26" s="8">
        <v>2029</v>
      </c>
      <c r="M26" s="8">
        <v>2030</v>
      </c>
    </row>
    <row r="27" spans="1:13" customFormat="1" x14ac:dyDescent="0.2">
      <c r="A27" s="1"/>
      <c r="B27" s="3" t="s">
        <v>14</v>
      </c>
      <c r="C27" s="12">
        <f>NPV(Discount_Rate,E27:M27)+D27</f>
        <v>0</v>
      </c>
      <c r="D27" s="42">
        <f>$C$23*$C$24</f>
        <v>0</v>
      </c>
      <c r="E27" s="43">
        <f t="shared" ref="E27:M27" si="10">$C$23*$C$24</f>
        <v>0</v>
      </c>
      <c r="F27" s="43">
        <f t="shared" si="10"/>
        <v>0</v>
      </c>
      <c r="G27" s="43">
        <f t="shared" si="10"/>
        <v>0</v>
      </c>
      <c r="H27" s="43">
        <f t="shared" si="10"/>
        <v>0</v>
      </c>
      <c r="I27" s="43">
        <f t="shared" si="10"/>
        <v>0</v>
      </c>
      <c r="J27" s="43">
        <f t="shared" si="10"/>
        <v>0</v>
      </c>
      <c r="K27" s="43">
        <f t="shared" si="10"/>
        <v>0</v>
      </c>
      <c r="L27" s="43">
        <f t="shared" si="10"/>
        <v>0</v>
      </c>
      <c r="M27" s="44">
        <f t="shared" si="10"/>
        <v>0</v>
      </c>
    </row>
    <row r="28" spans="1:13" customFormat="1" x14ac:dyDescent="0.2">
      <c r="A28" s="1"/>
      <c r="B28" s="3" t="s">
        <v>15</v>
      </c>
      <c r="C28" s="12">
        <f>NPV(Discount_Rate,E28:M28)+D28</f>
        <v>0</v>
      </c>
      <c r="D28" s="42">
        <f t="shared" ref="D28:M28" si="11">IF(BenefitYear&lt;=D26,$D$23*$D$24,D27)</f>
        <v>0</v>
      </c>
      <c r="E28" s="43">
        <f t="shared" si="11"/>
        <v>0</v>
      </c>
      <c r="F28" s="43">
        <f t="shared" si="11"/>
        <v>0</v>
      </c>
      <c r="G28" s="43">
        <f t="shared" si="11"/>
        <v>0</v>
      </c>
      <c r="H28" s="43">
        <f t="shared" si="11"/>
        <v>0</v>
      </c>
      <c r="I28" s="43">
        <f t="shared" si="11"/>
        <v>0</v>
      </c>
      <c r="J28" s="43">
        <f t="shared" si="11"/>
        <v>0</v>
      </c>
      <c r="K28" s="43">
        <f t="shared" si="11"/>
        <v>0</v>
      </c>
      <c r="L28" s="43">
        <f t="shared" si="11"/>
        <v>0</v>
      </c>
      <c r="M28" s="44">
        <f t="shared" si="11"/>
        <v>0</v>
      </c>
    </row>
    <row r="29" spans="1:13" customFormat="1" x14ac:dyDescent="0.2">
      <c r="A29" s="1"/>
      <c r="B29" s="3" t="s">
        <v>124</v>
      </c>
      <c r="C29" s="12">
        <f>NPV(Discount_Rate,E29:M29)+D29</f>
        <v>0</v>
      </c>
      <c r="D29" s="42">
        <f>D27-D28</f>
        <v>0</v>
      </c>
      <c r="E29" s="43">
        <f t="shared" ref="E29:M29" si="12">E27-E28</f>
        <v>0</v>
      </c>
      <c r="F29" s="43">
        <f t="shared" si="12"/>
        <v>0</v>
      </c>
      <c r="G29" s="43">
        <f t="shared" si="12"/>
        <v>0</v>
      </c>
      <c r="H29" s="43">
        <f t="shared" si="12"/>
        <v>0</v>
      </c>
      <c r="I29" s="43">
        <f t="shared" si="12"/>
        <v>0</v>
      </c>
      <c r="J29" s="43">
        <f t="shared" si="12"/>
        <v>0</v>
      </c>
      <c r="K29" s="43">
        <f t="shared" si="12"/>
        <v>0</v>
      </c>
      <c r="L29" s="43">
        <f t="shared" si="12"/>
        <v>0</v>
      </c>
      <c r="M29" s="44">
        <f t="shared" si="12"/>
        <v>0</v>
      </c>
    </row>
    <row r="30" spans="1:13" customFormat="1" x14ac:dyDescent="0.2">
      <c r="A30" s="1"/>
      <c r="B30" s="1"/>
      <c r="C30" s="84"/>
      <c r="D30" s="1"/>
      <c r="E30" s="1"/>
    </row>
    <row r="31" spans="1:13" customFormat="1" ht="15.75" x14ac:dyDescent="0.25">
      <c r="A31" s="1"/>
      <c r="B31" s="14" t="s">
        <v>156</v>
      </c>
      <c r="C31" s="14"/>
      <c r="D31" s="14"/>
      <c r="E31" s="14"/>
      <c r="F31" s="14"/>
      <c r="G31" s="14"/>
      <c r="H31" s="14"/>
      <c r="I31" s="14"/>
      <c r="J31" s="14"/>
      <c r="K31" s="14"/>
      <c r="L31" s="14"/>
      <c r="M31" s="14"/>
    </row>
    <row r="32" spans="1:13" customFormat="1" x14ac:dyDescent="0.2">
      <c r="A32" s="1"/>
      <c r="B32" s="1"/>
      <c r="C32" s="1"/>
      <c r="D32" s="1"/>
      <c r="E32" s="1"/>
    </row>
    <row r="33" spans="1:13" customFormat="1" ht="15.75" x14ac:dyDescent="0.25">
      <c r="A33" s="1"/>
      <c r="B33" s="23" t="s">
        <v>205</v>
      </c>
      <c r="C33" s="8"/>
      <c r="D33" s="1"/>
      <c r="E33" s="1"/>
    </row>
    <row r="34" spans="1:13" customFormat="1" x14ac:dyDescent="0.2">
      <c r="A34" s="1"/>
      <c r="B34" s="3" t="s">
        <v>206</v>
      </c>
      <c r="C34" s="51">
        <f>SUMIFS('VOC and vehicle mix'!$C$13:$C$14,'VOC and vehicle mix'!$B$13:$B$14,AssetType)*SUMIFS('VOC and vehicle mix'!$C$57:$D$57,'VOC and vehicle mix'!$C$50:$D$50,Region)/60</f>
        <v>0.52154688850775199</v>
      </c>
      <c r="D34" s="1"/>
      <c r="E34" s="1"/>
    </row>
    <row r="35" spans="1:13" customFormat="1" x14ac:dyDescent="0.2">
      <c r="A35" s="1"/>
      <c r="B35" s="3" t="s">
        <v>207</v>
      </c>
      <c r="C35" s="51">
        <f>SUMIFS('VOC and vehicle mix'!$C$17:$C$18,'VOC and vehicle mix'!$B$17:$B$18,AssetType)*'VOC and vehicle mix'!$G$78/100</f>
        <v>0.11710206202948831</v>
      </c>
      <c r="D35" s="1"/>
      <c r="E35" s="1"/>
    </row>
    <row r="36" spans="1:13" customFormat="1" x14ac:dyDescent="0.2">
      <c r="A36" s="1"/>
      <c r="B36" s="3" t="s">
        <v>208</v>
      </c>
      <c r="C36" s="51">
        <f>SUMIFS('VOC and vehicle mix'!$C$9:$C$10,'VOC and vehicle mix'!$B$13:$B$14,AssetType)*Safety!$C$54</f>
        <v>3.082058219343594E-2</v>
      </c>
      <c r="D36" s="1"/>
      <c r="E36" s="1"/>
    </row>
    <row r="37" spans="1:13" customFormat="1" x14ac:dyDescent="0.2">
      <c r="A37" s="1"/>
      <c r="B37" s="3" t="s">
        <v>29</v>
      </c>
      <c r="C37" s="67">
        <f>SUM(C34:C36)</f>
        <v>0.66946953273067633</v>
      </c>
      <c r="D37" s="1"/>
      <c r="E37" s="1"/>
    </row>
    <row r="38" spans="1:13" customFormat="1" x14ac:dyDescent="0.2">
      <c r="A38" s="1"/>
      <c r="B38" s="1"/>
      <c r="C38" s="1"/>
      <c r="D38" s="1"/>
      <c r="E38" s="1"/>
    </row>
    <row r="39" spans="1:13" customFormat="1" ht="15.75" x14ac:dyDescent="0.25">
      <c r="A39" s="1"/>
      <c r="B39" s="8" t="s">
        <v>14</v>
      </c>
      <c r="C39" s="8" t="s">
        <v>18</v>
      </c>
      <c r="D39" s="8">
        <v>2021</v>
      </c>
      <c r="E39" s="8">
        <v>2022</v>
      </c>
      <c r="F39" s="8">
        <v>2023</v>
      </c>
      <c r="G39" s="8">
        <v>2024</v>
      </c>
      <c r="H39" s="8">
        <v>2025</v>
      </c>
      <c r="I39" s="8">
        <v>2026</v>
      </c>
      <c r="J39" s="8">
        <v>2027</v>
      </c>
      <c r="K39" s="8">
        <v>2028</v>
      </c>
      <c r="L39" s="8">
        <v>2029</v>
      </c>
      <c r="M39" s="8">
        <v>2030</v>
      </c>
    </row>
    <row r="40" spans="1:13" customFormat="1" x14ac:dyDescent="0.2">
      <c r="A40" s="1"/>
      <c r="B40" s="3" t="s">
        <v>199</v>
      </c>
      <c r="C40" s="45">
        <f>NPV(Discount_Rate,E40:M40)+D40</f>
        <v>0</v>
      </c>
      <c r="D40" s="68">
        <f>D$10*$C34</f>
        <v>0</v>
      </c>
      <c r="E40" s="15">
        <f t="shared" ref="E40:M40" si="13">E$10*$C34</f>
        <v>0</v>
      </c>
      <c r="F40" s="15">
        <f t="shared" si="13"/>
        <v>0</v>
      </c>
      <c r="G40" s="15">
        <f t="shared" si="13"/>
        <v>0</v>
      </c>
      <c r="H40" s="15">
        <f t="shared" si="13"/>
        <v>0</v>
      </c>
      <c r="I40" s="15">
        <f t="shared" si="13"/>
        <v>0</v>
      </c>
      <c r="J40" s="15">
        <f t="shared" si="13"/>
        <v>0</v>
      </c>
      <c r="K40" s="15">
        <f t="shared" si="13"/>
        <v>0</v>
      </c>
      <c r="L40" s="15">
        <f t="shared" si="13"/>
        <v>0</v>
      </c>
      <c r="M40" s="69">
        <f t="shared" si="13"/>
        <v>0</v>
      </c>
    </row>
    <row r="41" spans="1:13" customFormat="1" x14ac:dyDescent="0.2">
      <c r="A41" s="1"/>
      <c r="B41" s="3" t="s">
        <v>200</v>
      </c>
      <c r="C41" s="46">
        <f>NPV(Discount_Rate,E41:M41)+D41</f>
        <v>0</v>
      </c>
      <c r="D41" s="70">
        <f>D$10*$C35</f>
        <v>0</v>
      </c>
      <c r="E41" s="64">
        <f t="shared" ref="E41:M41" si="14">E$10*$C35</f>
        <v>0</v>
      </c>
      <c r="F41" s="64">
        <f t="shared" si="14"/>
        <v>0</v>
      </c>
      <c r="G41" s="64">
        <f t="shared" si="14"/>
        <v>0</v>
      </c>
      <c r="H41" s="64">
        <f t="shared" si="14"/>
        <v>0</v>
      </c>
      <c r="I41" s="64">
        <f t="shared" si="14"/>
        <v>0</v>
      </c>
      <c r="J41" s="64">
        <f t="shared" si="14"/>
        <v>0</v>
      </c>
      <c r="K41" s="64">
        <f t="shared" si="14"/>
        <v>0</v>
      </c>
      <c r="L41" s="64">
        <f t="shared" si="14"/>
        <v>0</v>
      </c>
      <c r="M41" s="71">
        <f t="shared" si="14"/>
        <v>0</v>
      </c>
    </row>
    <row r="42" spans="1:13" customFormat="1" x14ac:dyDescent="0.2">
      <c r="A42" s="1"/>
      <c r="B42" s="3" t="s">
        <v>201</v>
      </c>
      <c r="C42" s="47">
        <f>NPV(Discount_Rate,E42:M42)+D42</f>
        <v>0</v>
      </c>
      <c r="D42" s="72">
        <f t="shared" ref="D42:M42" si="15">D$10*$C36</f>
        <v>0</v>
      </c>
      <c r="E42" s="73">
        <f t="shared" si="15"/>
        <v>0</v>
      </c>
      <c r="F42" s="73">
        <f t="shared" si="15"/>
        <v>0</v>
      </c>
      <c r="G42" s="73">
        <f t="shared" si="15"/>
        <v>0</v>
      </c>
      <c r="H42" s="73">
        <f t="shared" si="15"/>
        <v>0</v>
      </c>
      <c r="I42" s="73">
        <f t="shared" si="15"/>
        <v>0</v>
      </c>
      <c r="J42" s="73">
        <f t="shared" si="15"/>
        <v>0</v>
      </c>
      <c r="K42" s="73">
        <f t="shared" si="15"/>
        <v>0</v>
      </c>
      <c r="L42" s="73">
        <f t="shared" si="15"/>
        <v>0</v>
      </c>
      <c r="M42" s="74">
        <f t="shared" si="15"/>
        <v>0</v>
      </c>
    </row>
    <row r="43" spans="1:13" customFormat="1" x14ac:dyDescent="0.2">
      <c r="A43" s="1"/>
      <c r="B43" s="3" t="s">
        <v>29</v>
      </c>
      <c r="C43" s="12">
        <f>SUM(C40:C41)</f>
        <v>0</v>
      </c>
      <c r="D43" s="12">
        <f>SUM(D40:D42)</f>
        <v>0</v>
      </c>
      <c r="E43" s="12">
        <f t="shared" ref="E43:M43" si="16">SUM(E40:E42)</f>
        <v>0</v>
      </c>
      <c r="F43" s="12">
        <f t="shared" si="16"/>
        <v>0</v>
      </c>
      <c r="G43" s="12">
        <f t="shared" si="16"/>
        <v>0</v>
      </c>
      <c r="H43" s="12">
        <f t="shared" si="16"/>
        <v>0</v>
      </c>
      <c r="I43" s="12">
        <f t="shared" si="16"/>
        <v>0</v>
      </c>
      <c r="J43" s="12">
        <f t="shared" si="16"/>
        <v>0</v>
      </c>
      <c r="K43" s="12">
        <f t="shared" si="16"/>
        <v>0</v>
      </c>
      <c r="L43" s="12">
        <f t="shared" si="16"/>
        <v>0</v>
      </c>
      <c r="M43" s="12">
        <f t="shared" si="16"/>
        <v>0</v>
      </c>
    </row>
    <row r="44" spans="1:13" customFormat="1" x14ac:dyDescent="0.2">
      <c r="A44" s="1"/>
      <c r="B44" s="1"/>
      <c r="C44" s="1"/>
      <c r="D44" s="1"/>
      <c r="E44" s="1"/>
    </row>
    <row r="45" spans="1:13" customFormat="1" ht="15.75" x14ac:dyDescent="0.25">
      <c r="A45" s="1"/>
      <c r="B45" s="8" t="s">
        <v>15</v>
      </c>
      <c r="C45" s="8" t="s">
        <v>18</v>
      </c>
      <c r="D45" s="8">
        <v>2021</v>
      </c>
      <c r="E45" s="8">
        <v>2022</v>
      </c>
      <c r="F45" s="8">
        <v>2023</v>
      </c>
      <c r="G45" s="8">
        <v>2024</v>
      </c>
      <c r="H45" s="8">
        <v>2025</v>
      </c>
      <c r="I45" s="8">
        <v>2026</v>
      </c>
      <c r="J45" s="8">
        <v>2027</v>
      </c>
      <c r="K45" s="8">
        <v>2028</v>
      </c>
      <c r="L45" s="8">
        <v>2029</v>
      </c>
      <c r="M45" s="8">
        <v>2030</v>
      </c>
    </row>
    <row r="46" spans="1:13" customFormat="1" x14ac:dyDescent="0.2">
      <c r="A46" s="1"/>
      <c r="B46" s="3" t="s">
        <v>199</v>
      </c>
      <c r="C46" s="45">
        <f>NPV(Discount_Rate,E46:M46)+D46</f>
        <v>0</v>
      </c>
      <c r="D46" s="68">
        <f>D$11*$C34</f>
        <v>0</v>
      </c>
      <c r="E46" s="15">
        <f t="shared" ref="E46:M46" si="17">E$11*$C34</f>
        <v>0</v>
      </c>
      <c r="F46" s="15">
        <f t="shared" si="17"/>
        <v>0</v>
      </c>
      <c r="G46" s="15">
        <f t="shared" si="17"/>
        <v>0</v>
      </c>
      <c r="H46" s="15">
        <f t="shared" si="17"/>
        <v>0</v>
      </c>
      <c r="I46" s="15">
        <f t="shared" si="17"/>
        <v>0</v>
      </c>
      <c r="J46" s="15">
        <f t="shared" si="17"/>
        <v>0</v>
      </c>
      <c r="K46" s="15">
        <f t="shared" si="17"/>
        <v>0</v>
      </c>
      <c r="L46" s="15">
        <f t="shared" si="17"/>
        <v>0</v>
      </c>
      <c r="M46" s="69">
        <f t="shared" si="17"/>
        <v>0</v>
      </c>
    </row>
    <row r="47" spans="1:13" customFormat="1" x14ac:dyDescent="0.2">
      <c r="A47" s="1"/>
      <c r="B47" s="3" t="s">
        <v>200</v>
      </c>
      <c r="C47" s="46">
        <f>NPV(Discount_Rate,E47:M47)+D47</f>
        <v>0</v>
      </c>
      <c r="D47" s="70">
        <f t="shared" ref="D47:M47" si="18">D$11*$C35</f>
        <v>0</v>
      </c>
      <c r="E47" s="64">
        <f t="shared" si="18"/>
        <v>0</v>
      </c>
      <c r="F47" s="64">
        <f t="shared" si="18"/>
        <v>0</v>
      </c>
      <c r="G47" s="64">
        <f t="shared" si="18"/>
        <v>0</v>
      </c>
      <c r="H47" s="64">
        <f t="shared" si="18"/>
        <v>0</v>
      </c>
      <c r="I47" s="64">
        <f t="shared" si="18"/>
        <v>0</v>
      </c>
      <c r="J47" s="64">
        <f t="shared" si="18"/>
        <v>0</v>
      </c>
      <c r="K47" s="64">
        <f t="shared" si="18"/>
        <v>0</v>
      </c>
      <c r="L47" s="64">
        <f t="shared" si="18"/>
        <v>0</v>
      </c>
      <c r="M47" s="71">
        <f t="shared" si="18"/>
        <v>0</v>
      </c>
    </row>
    <row r="48" spans="1:13" customFormat="1" x14ac:dyDescent="0.2">
      <c r="A48" s="1"/>
      <c r="B48" s="3" t="s">
        <v>201</v>
      </c>
      <c r="C48" s="47">
        <f>NPV(Discount_Rate,E48:M48)+D48</f>
        <v>0</v>
      </c>
      <c r="D48" s="72">
        <f t="shared" ref="D48:M48" si="19">D$11*$C36</f>
        <v>0</v>
      </c>
      <c r="E48" s="73">
        <f t="shared" si="19"/>
        <v>0</v>
      </c>
      <c r="F48" s="73">
        <f t="shared" si="19"/>
        <v>0</v>
      </c>
      <c r="G48" s="73">
        <f t="shared" si="19"/>
        <v>0</v>
      </c>
      <c r="H48" s="73">
        <f t="shared" si="19"/>
        <v>0</v>
      </c>
      <c r="I48" s="73">
        <f t="shared" si="19"/>
        <v>0</v>
      </c>
      <c r="J48" s="73">
        <f t="shared" si="19"/>
        <v>0</v>
      </c>
      <c r="K48" s="73">
        <f t="shared" si="19"/>
        <v>0</v>
      </c>
      <c r="L48" s="73">
        <f t="shared" si="19"/>
        <v>0</v>
      </c>
      <c r="M48" s="74">
        <f t="shared" si="19"/>
        <v>0</v>
      </c>
    </row>
    <row r="49" spans="1:13" customFormat="1" x14ac:dyDescent="0.2">
      <c r="A49" s="1"/>
      <c r="B49" s="3" t="s">
        <v>29</v>
      </c>
      <c r="C49" s="12">
        <f>SUM(C46:C47)</f>
        <v>0</v>
      </c>
      <c r="D49" s="12">
        <f>SUM(D46:D48)</f>
        <v>0</v>
      </c>
      <c r="E49" s="12">
        <f t="shared" ref="E49:M49" si="20">SUM(E46:E48)</f>
        <v>0</v>
      </c>
      <c r="F49" s="12">
        <f t="shared" si="20"/>
        <v>0</v>
      </c>
      <c r="G49" s="12">
        <f t="shared" si="20"/>
        <v>0</v>
      </c>
      <c r="H49" s="12">
        <f t="shared" si="20"/>
        <v>0</v>
      </c>
      <c r="I49" s="12">
        <f t="shared" si="20"/>
        <v>0</v>
      </c>
      <c r="J49" s="12">
        <f t="shared" si="20"/>
        <v>0</v>
      </c>
      <c r="K49" s="12">
        <f t="shared" si="20"/>
        <v>0</v>
      </c>
      <c r="L49" s="12">
        <f t="shared" si="20"/>
        <v>0</v>
      </c>
      <c r="M49" s="12">
        <f t="shared" si="20"/>
        <v>0</v>
      </c>
    </row>
    <row r="50" spans="1:13" customFormat="1" x14ac:dyDescent="0.2">
      <c r="A50" s="1"/>
      <c r="B50" s="1"/>
      <c r="C50" s="1"/>
      <c r="D50" s="1"/>
      <c r="E50" s="1"/>
    </row>
    <row r="51" spans="1:13" customFormat="1" ht="15.75" x14ac:dyDescent="0.25">
      <c r="A51" s="1"/>
      <c r="B51" s="8" t="s">
        <v>124</v>
      </c>
      <c r="C51" s="8" t="s">
        <v>18</v>
      </c>
      <c r="D51" s="8">
        <v>2021</v>
      </c>
      <c r="E51" s="8">
        <v>2022</v>
      </c>
      <c r="F51" s="8">
        <v>2023</v>
      </c>
      <c r="G51" s="8">
        <v>2024</v>
      </c>
      <c r="H51" s="8">
        <v>2025</v>
      </c>
      <c r="I51" s="8">
        <v>2026</v>
      </c>
      <c r="J51" s="8">
        <v>2027</v>
      </c>
      <c r="K51" s="8">
        <v>2028</v>
      </c>
      <c r="L51" s="8">
        <v>2029</v>
      </c>
      <c r="M51" s="8">
        <v>2030</v>
      </c>
    </row>
    <row r="52" spans="1:13" customFormat="1" x14ac:dyDescent="0.2">
      <c r="A52" s="1"/>
      <c r="B52" s="3" t="s">
        <v>17</v>
      </c>
      <c r="C52" s="45">
        <f>NPV(Discount_Rate,E52:M52)+D52</f>
        <v>0</v>
      </c>
      <c r="D52" s="68">
        <f t="shared" ref="D52:M52" si="21">(D$10-D$11)*$C34</f>
        <v>0</v>
      </c>
      <c r="E52" s="15">
        <f t="shared" si="21"/>
        <v>0</v>
      </c>
      <c r="F52" s="15">
        <f t="shared" si="21"/>
        <v>0</v>
      </c>
      <c r="G52" s="15">
        <f t="shared" si="21"/>
        <v>0</v>
      </c>
      <c r="H52" s="15">
        <f t="shared" si="21"/>
        <v>0</v>
      </c>
      <c r="I52" s="15">
        <f t="shared" si="21"/>
        <v>0</v>
      </c>
      <c r="J52" s="15">
        <f t="shared" si="21"/>
        <v>0</v>
      </c>
      <c r="K52" s="15">
        <f t="shared" si="21"/>
        <v>0</v>
      </c>
      <c r="L52" s="15">
        <f t="shared" si="21"/>
        <v>0</v>
      </c>
      <c r="M52" s="69">
        <f t="shared" si="21"/>
        <v>0</v>
      </c>
    </row>
    <row r="53" spans="1:13" customFormat="1" x14ac:dyDescent="0.2">
      <c r="A53" s="1"/>
      <c r="B53" s="3" t="s">
        <v>176</v>
      </c>
      <c r="C53" s="46">
        <f>NPV(Discount_Rate,E53:M53)+D53</f>
        <v>0</v>
      </c>
      <c r="D53" s="70">
        <f t="shared" ref="D53:M53" si="22">(D$10-D$11)*$C35</f>
        <v>0</v>
      </c>
      <c r="E53" s="64">
        <f t="shared" si="22"/>
        <v>0</v>
      </c>
      <c r="F53" s="64">
        <f t="shared" si="22"/>
        <v>0</v>
      </c>
      <c r="G53" s="64">
        <f t="shared" si="22"/>
        <v>0</v>
      </c>
      <c r="H53" s="64">
        <f t="shared" si="22"/>
        <v>0</v>
      </c>
      <c r="I53" s="64">
        <f t="shared" si="22"/>
        <v>0</v>
      </c>
      <c r="J53" s="64">
        <f t="shared" si="22"/>
        <v>0</v>
      </c>
      <c r="K53" s="64">
        <f t="shared" si="22"/>
        <v>0</v>
      </c>
      <c r="L53" s="64">
        <f t="shared" si="22"/>
        <v>0</v>
      </c>
      <c r="M53" s="71">
        <f t="shared" si="22"/>
        <v>0</v>
      </c>
    </row>
    <row r="54" spans="1:13" customFormat="1" x14ac:dyDescent="0.2">
      <c r="A54" s="1"/>
      <c r="B54" s="3" t="s">
        <v>16</v>
      </c>
      <c r="C54" s="47">
        <f>NPV(Discount_Rate,E54:M54)+D54</f>
        <v>0</v>
      </c>
      <c r="D54" s="72">
        <f t="shared" ref="D54:M54" si="23">(D$10-D$11)*$C36</f>
        <v>0</v>
      </c>
      <c r="E54" s="73">
        <f t="shared" si="23"/>
        <v>0</v>
      </c>
      <c r="F54" s="73">
        <f t="shared" si="23"/>
        <v>0</v>
      </c>
      <c r="G54" s="73">
        <f t="shared" si="23"/>
        <v>0</v>
      </c>
      <c r="H54" s="73">
        <f t="shared" si="23"/>
        <v>0</v>
      </c>
      <c r="I54" s="73">
        <f t="shared" si="23"/>
        <v>0</v>
      </c>
      <c r="J54" s="73">
        <f t="shared" si="23"/>
        <v>0</v>
      </c>
      <c r="K54" s="73">
        <f t="shared" si="23"/>
        <v>0</v>
      </c>
      <c r="L54" s="73">
        <f t="shared" si="23"/>
        <v>0</v>
      </c>
      <c r="M54" s="74">
        <f t="shared" si="23"/>
        <v>0</v>
      </c>
    </row>
    <row r="55" spans="1:13" customFormat="1" x14ac:dyDescent="0.2">
      <c r="A55" s="1"/>
      <c r="B55" s="3" t="s">
        <v>29</v>
      </c>
      <c r="C55" s="12">
        <f>SUM(C52:C53)</f>
        <v>0</v>
      </c>
      <c r="D55" s="12">
        <f>SUM(D52:D54)</f>
        <v>0</v>
      </c>
      <c r="E55" s="12">
        <f t="shared" ref="E55:M55" si="24">SUM(E52:E54)</f>
        <v>0</v>
      </c>
      <c r="F55" s="12">
        <f t="shared" si="24"/>
        <v>0</v>
      </c>
      <c r="G55" s="12">
        <f t="shared" si="24"/>
        <v>0</v>
      </c>
      <c r="H55" s="12">
        <f t="shared" si="24"/>
        <v>0</v>
      </c>
      <c r="I55" s="12">
        <f t="shared" si="24"/>
        <v>0</v>
      </c>
      <c r="J55" s="12">
        <f t="shared" si="24"/>
        <v>0</v>
      </c>
      <c r="K55" s="12">
        <f t="shared" si="24"/>
        <v>0</v>
      </c>
      <c r="L55" s="12">
        <f t="shared" si="24"/>
        <v>0</v>
      </c>
      <c r="M55" s="12">
        <f t="shared" si="24"/>
        <v>0</v>
      </c>
    </row>
    <row r="56" spans="1:13" customFormat="1" x14ac:dyDescent="0.2">
      <c r="A56" s="1"/>
      <c r="B56" s="1"/>
      <c r="C56" s="84"/>
      <c r="D56" s="1"/>
      <c r="E56" s="1"/>
      <c r="F56" s="1"/>
      <c r="G56" s="1"/>
      <c r="H56" s="1"/>
      <c r="I56" s="1"/>
      <c r="J56" s="1"/>
      <c r="K56" s="1"/>
      <c r="L56" s="1"/>
      <c r="M56" s="1"/>
    </row>
    <row r="57" spans="1:13" customFormat="1" ht="21" x14ac:dyDescent="0.35">
      <c r="A57" s="1"/>
      <c r="B57" s="7" t="s">
        <v>63</v>
      </c>
      <c r="C57" s="7"/>
      <c r="D57" s="7"/>
      <c r="E57" s="7"/>
      <c r="F57" s="7"/>
      <c r="G57" s="7"/>
      <c r="H57" s="7"/>
      <c r="I57" s="7"/>
      <c r="J57" s="7"/>
      <c r="K57" s="7"/>
      <c r="L57" s="7"/>
      <c r="M57" s="7"/>
    </row>
    <row r="58" spans="1:13" customFormat="1" x14ac:dyDescent="0.2">
      <c r="A58" s="1"/>
      <c r="B58" s="1"/>
      <c r="C58" s="1"/>
      <c r="D58" s="1"/>
      <c r="E58" s="1"/>
    </row>
    <row r="59" spans="1:13" ht="15.75" x14ac:dyDescent="0.25">
      <c r="B59" s="14" t="s">
        <v>185</v>
      </c>
      <c r="C59" s="14"/>
      <c r="E59" s="1"/>
    </row>
    <row r="61" spans="1:13" ht="15.75" x14ac:dyDescent="0.25">
      <c r="B61" s="8"/>
      <c r="C61" s="23"/>
    </row>
    <row r="62" spans="1:13" x14ac:dyDescent="0.2">
      <c r="B62" s="3" t="s">
        <v>186</v>
      </c>
      <c r="C62" s="51">
        <f>Safety!C40*Safety!$C$64</f>
        <v>3.3836861275757153</v>
      </c>
    </row>
    <row r="63" spans="1:13" x14ac:dyDescent="0.2">
      <c r="B63" s="3" t="s">
        <v>189</v>
      </c>
      <c r="C63" s="82">
        <f>C$62*C10/10^9*(SUMIFS('VOC and vehicle mix'!$C$9:$C$10,'VOC and vehicle mix'!$B$9:$B$10,AssetType))</f>
        <v>0</v>
      </c>
      <c r="E63" s="1"/>
    </row>
    <row r="64" spans="1:13" x14ac:dyDescent="0.2">
      <c r="B64" s="3" t="s">
        <v>190</v>
      </c>
      <c r="C64" s="82">
        <f>C$62*C11/10^9*(SUMIFS('VOC and vehicle mix'!$C$9:$C$10,'VOC and vehicle mix'!$B$9:$B$10,AssetType))</f>
        <v>0</v>
      </c>
    </row>
    <row r="65" spans="2:5" x14ac:dyDescent="0.2">
      <c r="B65" s="3" t="s">
        <v>64</v>
      </c>
      <c r="C65" s="83">
        <f>C63-C64</f>
        <v>0</v>
      </c>
    </row>
    <row r="67" spans="2:5" ht="15.75" x14ac:dyDescent="0.25">
      <c r="B67" s="14" t="s">
        <v>187</v>
      </c>
      <c r="C67" s="14"/>
    </row>
    <row r="69" spans="2:5" ht="15.75" x14ac:dyDescent="0.25">
      <c r="B69" s="8"/>
      <c r="C69" s="23"/>
    </row>
    <row r="70" spans="2:5" x14ac:dyDescent="0.2">
      <c r="B70" s="3" t="s">
        <v>191</v>
      </c>
      <c r="C70" s="94">
        <f>SUMIFS('VOC and vehicle mix'!C13:C14,'VOC and vehicle mix'!B13:B14,AssetType)/60*SUMIFS('VOC and vehicle mix'!C66:D66,'VOC and vehicle mix'!C59:D59,Region)</f>
        <v>2.902366666666667E-2</v>
      </c>
      <c r="E70" s="1"/>
    </row>
    <row r="71" spans="2:5" x14ac:dyDescent="0.2">
      <c r="B71" s="3" t="s">
        <v>192</v>
      </c>
      <c r="C71" s="12">
        <f>C$70*C10</f>
        <v>0</v>
      </c>
      <c r="E71" s="1"/>
    </row>
    <row r="72" spans="2:5" x14ac:dyDescent="0.2">
      <c r="B72" s="3" t="s">
        <v>193</v>
      </c>
      <c r="C72" s="12">
        <f>C$70*C11</f>
        <v>0</v>
      </c>
      <c r="E72" s="1"/>
    </row>
    <row r="73" spans="2:5" x14ac:dyDescent="0.2">
      <c r="B73" s="3" t="s">
        <v>65</v>
      </c>
      <c r="C73" s="40">
        <f>C71-C72</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6FB1F-0A80-4B5E-917A-DC7C160AAA40}">
  <sheetPr>
    <tabColor theme="0"/>
  </sheetPr>
  <dimension ref="A1:AA33"/>
  <sheetViews>
    <sheetView showGridLines="0" zoomScale="70" zoomScaleNormal="70" workbookViewId="0">
      <selection activeCell="E10" sqref="E10"/>
    </sheetView>
  </sheetViews>
  <sheetFormatPr defaultColWidth="8.88671875" defaultRowHeight="15" x14ac:dyDescent="0.2"/>
  <cols>
    <col min="1" max="1" width="18.5546875" style="1" customWidth="1"/>
    <col min="2" max="3" width="30.88671875" style="1" customWidth="1"/>
    <col min="4" max="4" width="12" style="1" customWidth="1"/>
    <col min="5" max="10" width="12" customWidth="1"/>
    <col min="11" max="27" width="8.6640625" customWidth="1"/>
    <col min="28" max="16384" width="8.88671875" style="1"/>
  </cols>
  <sheetData>
    <row r="1" spans="1:5" ht="18" x14ac:dyDescent="0.25">
      <c r="A1" s="2" t="str">
        <f ca="1">MID(CELL("filename",A2),FIND("]",CELL("filename",A2))+1,256)</f>
        <v>Detailed assumptions =&gt;</v>
      </c>
    </row>
    <row r="2" spans="1:5" x14ac:dyDescent="0.2">
      <c r="A2" s="5" t="s">
        <v>0</v>
      </c>
    </row>
    <row r="4" spans="1:5" x14ac:dyDescent="0.2">
      <c r="E4" s="1"/>
    </row>
    <row r="5" spans="1:5" x14ac:dyDescent="0.2">
      <c r="E5" s="1"/>
    </row>
    <row r="6" spans="1:5" x14ac:dyDescent="0.2">
      <c r="E6" s="1"/>
    </row>
    <row r="7" spans="1:5" x14ac:dyDescent="0.2">
      <c r="E7" s="1"/>
    </row>
    <row r="8" spans="1:5" x14ac:dyDescent="0.2">
      <c r="E8" s="1"/>
    </row>
    <row r="9" spans="1:5" x14ac:dyDescent="0.2">
      <c r="E9" s="1"/>
    </row>
    <row r="10" spans="1:5" x14ac:dyDescent="0.2">
      <c r="E10" s="1"/>
    </row>
    <row r="11" spans="1:5" x14ac:dyDescent="0.2">
      <c r="E11" s="1"/>
    </row>
    <row r="12" spans="1:5" customFormat="1" x14ac:dyDescent="0.2">
      <c r="B12" s="1"/>
      <c r="C12" s="1"/>
      <c r="D12" s="1"/>
      <c r="E12" s="1"/>
    </row>
    <row r="13" spans="1:5" customFormat="1" x14ac:dyDescent="0.2">
      <c r="B13" s="1"/>
      <c r="C13" s="1"/>
      <c r="D13" s="1"/>
      <c r="E13" s="1"/>
    </row>
    <row r="14" spans="1:5" customFormat="1" x14ac:dyDescent="0.2">
      <c r="B14" s="1"/>
      <c r="C14" s="1"/>
      <c r="D14" s="1"/>
      <c r="E14" s="1"/>
    </row>
    <row r="15" spans="1:5" customFormat="1" x14ac:dyDescent="0.2">
      <c r="B15" s="1"/>
      <c r="C15" s="1"/>
      <c r="D15" s="1"/>
      <c r="E15" s="1"/>
    </row>
    <row r="16" spans="1:5" customFormat="1" x14ac:dyDescent="0.2">
      <c r="B16" s="1"/>
      <c r="C16" s="1"/>
      <c r="D16" s="1"/>
      <c r="E16" s="1"/>
    </row>
    <row r="17" spans="2:5" customFormat="1" x14ac:dyDescent="0.2">
      <c r="B17" s="1"/>
      <c r="C17" s="1"/>
      <c r="D17" s="1"/>
      <c r="E17" s="1"/>
    </row>
    <row r="18" spans="2:5" customFormat="1" x14ac:dyDescent="0.2">
      <c r="B18" s="1"/>
      <c r="C18" s="1"/>
      <c r="D18" s="1"/>
      <c r="E18" s="1"/>
    </row>
    <row r="19" spans="2:5" customFormat="1" x14ac:dyDescent="0.2">
      <c r="B19" s="1"/>
      <c r="C19" s="1"/>
      <c r="D19" s="1"/>
      <c r="E19" s="1"/>
    </row>
    <row r="22" spans="2:5" customFormat="1" x14ac:dyDescent="0.2"/>
    <row r="23" spans="2:5" customFormat="1" x14ac:dyDescent="0.2"/>
    <row r="24" spans="2:5" customFormat="1" x14ac:dyDescent="0.2"/>
    <row r="25" spans="2:5" customFormat="1" x14ac:dyDescent="0.2"/>
    <row r="26" spans="2:5" customFormat="1" x14ac:dyDescent="0.2"/>
    <row r="27" spans="2:5" customFormat="1" x14ac:dyDescent="0.2"/>
    <row r="28" spans="2:5" customFormat="1" x14ac:dyDescent="0.2"/>
    <row r="29" spans="2:5" customFormat="1" x14ac:dyDescent="0.2"/>
    <row r="30" spans="2:5" customFormat="1" x14ac:dyDescent="0.2"/>
    <row r="31" spans="2:5" customFormat="1" x14ac:dyDescent="0.2"/>
    <row r="32" spans="2:5" customFormat="1" x14ac:dyDescent="0.2"/>
    <row r="33" customFormat="1" x14ac:dyDescent="0.2"/>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3CE04-175D-4745-9D72-7362C98BF988}">
  <sheetPr>
    <tabColor rgb="FF99FFCC"/>
  </sheetPr>
  <dimension ref="A1:AA57"/>
  <sheetViews>
    <sheetView showGridLines="0" zoomScale="70" zoomScaleNormal="70" workbookViewId="0">
      <selection activeCell="F58" sqref="F57:F58"/>
    </sheetView>
  </sheetViews>
  <sheetFormatPr defaultColWidth="8.88671875" defaultRowHeight="15" x14ac:dyDescent="0.2"/>
  <cols>
    <col min="1" max="1" width="18.5546875" style="1" customWidth="1"/>
    <col min="2" max="2" width="25.6640625" style="1" customWidth="1"/>
    <col min="3" max="3" width="19.44140625" style="1" customWidth="1"/>
    <col min="4" max="4" width="15.44140625" style="1" customWidth="1"/>
    <col min="5" max="5" width="17.109375" bestFit="1" customWidth="1"/>
    <col min="6" max="7" width="18.88671875" customWidth="1"/>
    <col min="8" max="8" width="12" customWidth="1"/>
    <col min="9" max="9" width="20.44140625" customWidth="1"/>
    <col min="10" max="10" width="12" customWidth="1"/>
    <col min="11" max="27" width="8.77734375" customWidth="1"/>
    <col min="28" max="16384" width="8.88671875" style="1"/>
  </cols>
  <sheetData>
    <row r="1" spans="1:21" ht="18" x14ac:dyDescent="0.25">
      <c r="A1" s="2" t="str">
        <f ca="1">MID(CELL("filename",A2),FIND("]",CELL("filename",A2))+1,256)</f>
        <v>High level assumptions</v>
      </c>
    </row>
    <row r="2" spans="1:21" x14ac:dyDescent="0.2">
      <c r="A2" s="5" t="s">
        <v>0</v>
      </c>
    </row>
    <row r="4" spans="1:21" ht="20.25" x14ac:dyDescent="0.3">
      <c r="B4" s="18" t="s">
        <v>66</v>
      </c>
      <c r="C4" s="18"/>
      <c r="D4" s="18"/>
      <c r="E4" s="18"/>
      <c r="F4" s="18"/>
      <c r="G4" s="18"/>
      <c r="H4" s="18"/>
      <c r="I4" s="18"/>
    </row>
    <row r="5" spans="1:21" x14ac:dyDescent="0.2">
      <c r="E5" s="1"/>
      <c r="F5" s="1"/>
      <c r="G5" s="1"/>
      <c r="H5" s="1"/>
      <c r="I5" s="1"/>
      <c r="T5" s="1"/>
      <c r="U5" s="1"/>
    </row>
    <row r="6" spans="1:21" ht="15.75" x14ac:dyDescent="0.25">
      <c r="B6" s="8"/>
      <c r="C6" s="8"/>
      <c r="T6" s="1"/>
      <c r="U6" s="1"/>
    </row>
    <row r="7" spans="1:21" x14ac:dyDescent="0.2">
      <c r="B7" s="3" t="s">
        <v>6</v>
      </c>
      <c r="C7" s="9">
        <v>7.0000000000000007E-2</v>
      </c>
      <c r="T7" s="1"/>
      <c r="U7" s="1"/>
    </row>
    <row r="8" spans="1:21" x14ac:dyDescent="0.2">
      <c r="B8" s="3" t="s">
        <v>67</v>
      </c>
      <c r="C8" s="9">
        <v>2.5000000000000001E-2</v>
      </c>
      <c r="T8" s="1"/>
      <c r="U8" s="1"/>
    </row>
    <row r="9" spans="1:21" x14ac:dyDescent="0.2">
      <c r="E9" s="1"/>
      <c r="F9" s="1"/>
      <c r="G9" s="1"/>
      <c r="H9" s="1"/>
      <c r="I9" s="1"/>
    </row>
    <row r="10" spans="1:21" ht="15.75" x14ac:dyDescent="0.25">
      <c r="B10" s="21" t="s">
        <v>68</v>
      </c>
      <c r="C10" s="21"/>
      <c r="E10" s="1"/>
      <c r="F10" s="1"/>
      <c r="G10" s="1"/>
      <c r="H10" s="1"/>
      <c r="I10" s="1"/>
    </row>
    <row r="11" spans="1:21" x14ac:dyDescent="0.2">
      <c r="E11" s="1"/>
      <c r="F11" s="1"/>
      <c r="G11" s="1"/>
      <c r="H11" s="1"/>
      <c r="I11" s="1"/>
    </row>
    <row r="12" spans="1:21" ht="15.75" x14ac:dyDescent="0.25">
      <c r="B12" s="8" t="s">
        <v>69</v>
      </c>
      <c r="C12" s="8" t="s">
        <v>70</v>
      </c>
      <c r="D12" s="8" t="s">
        <v>71</v>
      </c>
      <c r="E12" s="8"/>
      <c r="F12" s="8"/>
      <c r="G12" s="8"/>
      <c r="H12" s="8"/>
      <c r="I12" s="8"/>
    </row>
    <row r="13" spans="1:21" x14ac:dyDescent="0.2">
      <c r="B13" s="29">
        <v>41426</v>
      </c>
      <c r="C13" s="19">
        <v>103.2</v>
      </c>
      <c r="D13" s="3" t="s">
        <v>72</v>
      </c>
      <c r="E13" s="3"/>
      <c r="F13" s="3"/>
      <c r="G13" s="3"/>
      <c r="H13" s="3"/>
      <c r="I13" s="3"/>
    </row>
    <row r="14" spans="1:21" x14ac:dyDescent="0.2">
      <c r="B14" s="29">
        <v>43617</v>
      </c>
      <c r="C14" s="19">
        <v>115.3</v>
      </c>
      <c r="D14" s="3"/>
      <c r="E14" s="3"/>
      <c r="F14" s="3"/>
      <c r="G14" s="3"/>
      <c r="H14" s="3"/>
      <c r="I14" s="3"/>
    </row>
    <row r="15" spans="1:21" x14ac:dyDescent="0.2">
      <c r="B15" s="29">
        <v>43800</v>
      </c>
      <c r="C15" s="19">
        <v>116.7</v>
      </c>
      <c r="D15" s="3"/>
      <c r="E15" s="3"/>
      <c r="F15" s="3"/>
      <c r="G15" s="3"/>
      <c r="H15" s="3"/>
      <c r="I15" s="3"/>
    </row>
    <row r="16" spans="1:21" x14ac:dyDescent="0.2">
      <c r="B16" s="29">
        <v>43983</v>
      </c>
      <c r="C16" s="19">
        <v>115.8</v>
      </c>
      <c r="D16" s="3"/>
      <c r="E16" s="3"/>
      <c r="F16" s="3"/>
      <c r="G16" s="3"/>
      <c r="H16" s="3"/>
      <c r="I16" s="3"/>
    </row>
    <row r="17" spans="2:9" x14ac:dyDescent="0.2">
      <c r="E17" s="1"/>
      <c r="F17" s="1"/>
      <c r="G17" s="1"/>
      <c r="H17" s="1"/>
      <c r="I17" s="1"/>
    </row>
    <row r="18" spans="2:9" customFormat="1" x14ac:dyDescent="0.2">
      <c r="B18" s="1"/>
      <c r="C18" s="1"/>
      <c r="D18" s="1"/>
    </row>
    <row r="19" spans="2:9" customFormat="1" x14ac:dyDescent="0.2">
      <c r="B19" s="1"/>
      <c r="C19" s="1"/>
      <c r="D19" s="1"/>
    </row>
    <row r="20" spans="2:9" customFormat="1" x14ac:dyDescent="0.2">
      <c r="B20" s="1"/>
      <c r="C20" s="1"/>
      <c r="D20" s="1"/>
    </row>
    <row r="21" spans="2:9" customFormat="1" x14ac:dyDescent="0.2">
      <c r="B21" s="1"/>
      <c r="C21" s="1"/>
      <c r="D21" s="1"/>
    </row>
    <row r="22" spans="2:9" customFormat="1" x14ac:dyDescent="0.2">
      <c r="B22" s="1"/>
      <c r="C22" s="1"/>
      <c r="D22" s="1"/>
    </row>
    <row r="23" spans="2:9" customFormat="1" x14ac:dyDescent="0.2">
      <c r="B23" s="1"/>
      <c r="C23" s="1"/>
      <c r="D23" s="1"/>
    </row>
    <row r="24" spans="2:9" customFormat="1" x14ac:dyDescent="0.2">
      <c r="B24" s="1"/>
      <c r="C24" s="1"/>
      <c r="D24" s="1"/>
    </row>
    <row r="25" spans="2:9" customFormat="1" x14ac:dyDescent="0.2">
      <c r="B25" s="1"/>
      <c r="C25" s="1"/>
      <c r="D25" s="1"/>
    </row>
    <row r="28" spans="2:9" customFormat="1" x14ac:dyDescent="0.2">
      <c r="B28" s="1"/>
      <c r="C28" s="1"/>
      <c r="D28" s="1"/>
    </row>
    <row r="29" spans="2:9" customFormat="1" x14ac:dyDescent="0.2">
      <c r="B29" s="1"/>
      <c r="C29" s="1"/>
      <c r="D29" s="1"/>
    </row>
    <row r="30" spans="2:9" customFormat="1" x14ac:dyDescent="0.2">
      <c r="B30" s="1"/>
      <c r="C30" s="1"/>
      <c r="D30" s="1"/>
    </row>
    <row r="31" spans="2:9" customFormat="1" x14ac:dyDescent="0.2">
      <c r="B31" s="1"/>
      <c r="C31" s="1"/>
      <c r="D31" s="1"/>
    </row>
    <row r="32" spans="2:9" customFormat="1" x14ac:dyDescent="0.2">
      <c r="B32" s="1"/>
      <c r="C32" s="1"/>
      <c r="D32" s="1"/>
    </row>
    <row r="33" spans="1:4" customFormat="1" x14ac:dyDescent="0.2">
      <c r="B33" s="1"/>
      <c r="C33" s="1"/>
      <c r="D33" s="1"/>
    </row>
    <row r="34" spans="1:4" customFormat="1" x14ac:dyDescent="0.2">
      <c r="B34" s="1"/>
      <c r="C34" s="1"/>
      <c r="D34" s="1"/>
    </row>
    <row r="35" spans="1:4" customFormat="1" x14ac:dyDescent="0.2">
      <c r="B35" s="1"/>
      <c r="C35" s="1"/>
      <c r="D35" s="1"/>
    </row>
    <row r="36" spans="1:4" customFormat="1" x14ac:dyDescent="0.2">
      <c r="B36" s="1"/>
      <c r="C36" s="1"/>
      <c r="D36" s="1"/>
    </row>
    <row r="37" spans="1:4" customFormat="1" x14ac:dyDescent="0.2">
      <c r="B37" s="1"/>
      <c r="C37" s="1"/>
      <c r="D37" s="1"/>
    </row>
    <row r="38" spans="1:4" customFormat="1" x14ac:dyDescent="0.2">
      <c r="A38" s="1"/>
      <c r="B38" s="1"/>
      <c r="C38" s="1"/>
      <c r="D38" s="1"/>
    </row>
    <row r="56" spans="2:4" customFormat="1" x14ac:dyDescent="0.2">
      <c r="B56" s="1"/>
      <c r="C56" s="1"/>
      <c r="D56" s="1"/>
    </row>
    <row r="57" spans="2:4" customFormat="1" x14ac:dyDescent="0.2">
      <c r="B57" s="1"/>
      <c r="C57" s="1"/>
      <c r="D57" s="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2DADA-8FEE-4CC8-B48A-85D780C63BC9}">
  <sheetPr>
    <tabColor rgb="FF99FFCC"/>
  </sheetPr>
  <dimension ref="A1:AA78"/>
  <sheetViews>
    <sheetView showGridLines="0" zoomScale="70" zoomScaleNormal="70" workbookViewId="0">
      <selection activeCell="E21" sqref="E21"/>
    </sheetView>
  </sheetViews>
  <sheetFormatPr defaultColWidth="8.88671875" defaultRowHeight="15" x14ac:dyDescent="0.2"/>
  <cols>
    <col min="1" max="1" width="18.5546875" style="1" customWidth="1"/>
    <col min="2" max="2" width="25.6640625" style="1" customWidth="1"/>
    <col min="3" max="3" width="19.44140625" style="1" customWidth="1"/>
    <col min="4" max="4" width="15.44140625" style="1" customWidth="1"/>
    <col min="5" max="5" width="17.109375" bestFit="1" customWidth="1"/>
    <col min="6" max="7" width="18.88671875" customWidth="1"/>
    <col min="8" max="8" width="12" customWidth="1"/>
    <col min="9" max="9" width="34.88671875" customWidth="1"/>
    <col min="10" max="10" width="12" customWidth="1"/>
    <col min="11" max="27" width="8.77734375" customWidth="1"/>
    <col min="28" max="16384" width="8.88671875" style="1"/>
  </cols>
  <sheetData>
    <row r="1" spans="1:21" ht="18" x14ac:dyDescent="0.25">
      <c r="A1" s="2" t="str">
        <f ca="1">MID(CELL("filename",A2),FIND("]",CELL("filename",A2))+1,256)</f>
        <v>VOC and vehicle mix</v>
      </c>
    </row>
    <row r="2" spans="1:21" x14ac:dyDescent="0.2">
      <c r="A2" s="5" t="s">
        <v>0</v>
      </c>
    </row>
    <row r="4" spans="1:21" ht="20.25" x14ac:dyDescent="0.3">
      <c r="B4" s="18" t="s">
        <v>66</v>
      </c>
      <c r="C4" s="18"/>
      <c r="D4" s="18"/>
      <c r="E4" s="18"/>
      <c r="F4" s="18"/>
      <c r="G4" s="18"/>
      <c r="H4" s="18"/>
      <c r="I4" s="18"/>
    </row>
    <row r="5" spans="1:21" x14ac:dyDescent="0.2">
      <c r="E5" s="1"/>
      <c r="F5" s="1"/>
      <c r="G5" s="1"/>
      <c r="H5" s="1"/>
      <c r="I5" s="1"/>
      <c r="T5" s="1"/>
      <c r="U5" s="1"/>
    </row>
    <row r="6" spans="1:21" ht="15.75" x14ac:dyDescent="0.25">
      <c r="B6" s="21" t="s">
        <v>174</v>
      </c>
      <c r="C6" s="21"/>
      <c r="D6" s="20"/>
      <c r="E6" s="20"/>
      <c r="F6" s="20"/>
      <c r="G6" s="20"/>
      <c r="H6" s="20"/>
      <c r="I6" s="20"/>
      <c r="T6" s="1"/>
      <c r="U6" s="1"/>
    </row>
    <row r="7" spans="1:21" x14ac:dyDescent="0.2">
      <c r="E7" s="1"/>
      <c r="F7" s="1"/>
      <c r="G7" s="1"/>
      <c r="H7" s="1"/>
      <c r="I7" s="1"/>
      <c r="T7" s="1"/>
      <c r="U7" s="1"/>
    </row>
    <row r="8" spans="1:21" customFormat="1" ht="15.75" x14ac:dyDescent="0.25">
      <c r="A8" s="1"/>
      <c r="B8" s="8" t="s">
        <v>11</v>
      </c>
      <c r="C8" s="8"/>
      <c r="D8" s="8" t="s">
        <v>71</v>
      </c>
      <c r="E8" s="8"/>
      <c r="F8" s="8"/>
      <c r="G8" s="8"/>
      <c r="H8" s="8"/>
      <c r="I8" s="8"/>
    </row>
    <row r="9" spans="1:21" customFormat="1" x14ac:dyDescent="0.2">
      <c r="A9" s="1"/>
      <c r="B9" s="3" t="s">
        <v>12</v>
      </c>
      <c r="C9" s="9">
        <v>0.3</v>
      </c>
      <c r="D9" s="3" t="s">
        <v>13</v>
      </c>
      <c r="E9" s="3"/>
      <c r="F9" s="3"/>
      <c r="G9" s="3"/>
      <c r="H9" s="3"/>
      <c r="I9" s="3"/>
    </row>
    <row r="10" spans="1:21" customFormat="1" x14ac:dyDescent="0.2">
      <c r="A10" s="1"/>
      <c r="B10" s="3" t="s">
        <v>118</v>
      </c>
      <c r="C10" s="9">
        <v>0.38</v>
      </c>
      <c r="D10" s="3" t="s">
        <v>119</v>
      </c>
      <c r="E10" s="3"/>
      <c r="F10" s="3"/>
      <c r="G10" s="3"/>
      <c r="H10" s="3"/>
      <c r="I10" s="3"/>
    </row>
    <row r="11" spans="1:21" customFormat="1" x14ac:dyDescent="0.2">
      <c r="A11" s="1"/>
      <c r="B11" s="1"/>
      <c r="C11" s="1"/>
      <c r="D11" s="1"/>
      <c r="E11" s="1"/>
      <c r="F11" s="1"/>
      <c r="G11" s="1"/>
      <c r="H11" s="1"/>
      <c r="I11" s="1"/>
    </row>
    <row r="12" spans="1:21" customFormat="1" ht="15.75" x14ac:dyDescent="0.25">
      <c r="A12" s="1"/>
      <c r="B12" s="8" t="s">
        <v>158</v>
      </c>
      <c r="C12" s="8" t="s">
        <v>159</v>
      </c>
      <c r="D12" s="8" t="s">
        <v>71</v>
      </c>
      <c r="E12" s="8"/>
      <c r="F12" s="8"/>
      <c r="G12" s="8"/>
      <c r="H12" s="8"/>
      <c r="I12" s="8"/>
    </row>
    <row r="13" spans="1:21" customFormat="1" x14ac:dyDescent="0.2">
      <c r="A13" s="1"/>
      <c r="B13" s="3" t="s">
        <v>12</v>
      </c>
      <c r="C13" s="6">
        <v>1</v>
      </c>
      <c r="D13" s="3" t="s">
        <v>180</v>
      </c>
      <c r="E13" s="3"/>
      <c r="F13" s="3"/>
      <c r="G13" s="3"/>
      <c r="H13" s="3"/>
      <c r="I13" s="3"/>
    </row>
    <row r="14" spans="1:21" customFormat="1" x14ac:dyDescent="0.2">
      <c r="A14" s="1"/>
      <c r="B14" s="3" t="s">
        <v>118</v>
      </c>
      <c r="C14" s="6">
        <v>0</v>
      </c>
      <c r="D14" s="3" t="s">
        <v>160</v>
      </c>
      <c r="E14" s="3"/>
      <c r="F14" s="3"/>
      <c r="G14" s="3"/>
      <c r="H14" s="3"/>
      <c r="I14" s="3"/>
    </row>
    <row r="15" spans="1:21" customFormat="1" x14ac:dyDescent="0.2">
      <c r="A15" s="1"/>
      <c r="B15" s="1"/>
      <c r="C15" s="1"/>
      <c r="D15" s="1"/>
      <c r="E15" s="1"/>
      <c r="F15" s="1"/>
      <c r="G15" s="1"/>
      <c r="H15" s="1"/>
      <c r="I15" s="1"/>
    </row>
    <row r="16" spans="1:21" customFormat="1" ht="31.5" x14ac:dyDescent="0.25">
      <c r="A16" s="1"/>
      <c r="B16" s="8" t="s">
        <v>161</v>
      </c>
      <c r="C16" s="23" t="s">
        <v>163</v>
      </c>
      <c r="D16" s="8" t="s">
        <v>71</v>
      </c>
      <c r="E16" s="8"/>
      <c r="F16" s="8"/>
      <c r="G16" s="8"/>
      <c r="H16" s="8"/>
      <c r="I16" s="8"/>
    </row>
    <row r="17" spans="1:9" customFormat="1" x14ac:dyDescent="0.2">
      <c r="A17" s="1"/>
      <c r="B17" s="3" t="s">
        <v>12</v>
      </c>
      <c r="C17" s="6">
        <v>1</v>
      </c>
      <c r="D17" s="3" t="s">
        <v>164</v>
      </c>
      <c r="E17" s="3"/>
      <c r="F17" s="3"/>
      <c r="G17" s="3"/>
      <c r="H17" s="3"/>
      <c r="I17" s="3"/>
    </row>
    <row r="18" spans="1:9" customFormat="1" x14ac:dyDescent="0.2">
      <c r="A18" s="1"/>
      <c r="B18" s="3" t="s">
        <v>118</v>
      </c>
      <c r="C18" s="6">
        <v>0</v>
      </c>
      <c r="D18" s="3" t="s">
        <v>162</v>
      </c>
      <c r="E18" s="3"/>
      <c r="F18" s="3"/>
      <c r="G18" s="3"/>
      <c r="H18" s="3"/>
      <c r="I18" s="3"/>
    </row>
    <row r="19" spans="1:9" customFormat="1" x14ac:dyDescent="0.2">
      <c r="A19" s="1"/>
      <c r="B19" s="1"/>
      <c r="C19" s="1"/>
      <c r="D19" s="1"/>
      <c r="E19" s="1"/>
      <c r="F19" s="1"/>
      <c r="G19" s="1"/>
      <c r="H19" s="1"/>
      <c r="I19" s="1"/>
    </row>
    <row r="20" spans="1:9" customFormat="1" ht="20.25" x14ac:dyDescent="0.3">
      <c r="A20" s="1"/>
      <c r="B20" s="18" t="s">
        <v>175</v>
      </c>
      <c r="C20" s="18"/>
      <c r="D20" s="18"/>
      <c r="E20" s="18"/>
      <c r="F20" s="18"/>
      <c r="G20" s="18"/>
      <c r="H20" s="18"/>
      <c r="I20" s="18"/>
    </row>
    <row r="21" spans="1:9" customFormat="1" x14ac:dyDescent="0.2">
      <c r="A21" s="1"/>
      <c r="B21" s="1"/>
      <c r="C21" s="1"/>
      <c r="D21" s="1"/>
      <c r="E21" s="1"/>
      <c r="F21" s="1"/>
      <c r="G21" s="1"/>
      <c r="H21" s="1"/>
      <c r="I21" s="1"/>
    </row>
    <row r="22" spans="1:9" customFormat="1" ht="15.75" x14ac:dyDescent="0.25">
      <c r="A22" s="1"/>
      <c r="B22" s="21" t="s">
        <v>68</v>
      </c>
      <c r="C22" s="21"/>
      <c r="D22" s="1"/>
      <c r="E22" s="1"/>
      <c r="F22" s="1"/>
      <c r="G22" s="1"/>
      <c r="H22" s="1"/>
      <c r="I22" s="1"/>
    </row>
    <row r="23" spans="1:9" customFormat="1" x14ac:dyDescent="0.2">
      <c r="A23" s="1"/>
      <c r="B23" s="1"/>
      <c r="C23" s="1"/>
      <c r="D23" s="1"/>
      <c r="E23" s="1"/>
      <c r="F23" s="1"/>
      <c r="G23" s="1"/>
      <c r="H23" s="1"/>
      <c r="I23" s="1"/>
    </row>
    <row r="24" spans="1:9" customFormat="1" ht="15.75" x14ac:dyDescent="0.25">
      <c r="A24" s="1"/>
      <c r="B24" s="8" t="s">
        <v>69</v>
      </c>
      <c r="C24" s="8" t="s">
        <v>70</v>
      </c>
      <c r="D24" s="8" t="s">
        <v>71</v>
      </c>
      <c r="E24" s="8"/>
      <c r="F24" s="8"/>
      <c r="G24" s="8"/>
      <c r="H24" s="8"/>
      <c r="I24" s="8"/>
    </row>
    <row r="25" spans="1:9" customFormat="1" x14ac:dyDescent="0.2">
      <c r="A25" s="1"/>
      <c r="B25" s="29">
        <v>41426</v>
      </c>
      <c r="C25" s="19">
        <v>103.2</v>
      </c>
      <c r="D25" s="3" t="s">
        <v>72</v>
      </c>
      <c r="E25" s="3"/>
      <c r="F25" s="3"/>
      <c r="G25" s="3"/>
      <c r="H25" s="3"/>
      <c r="I25" s="3"/>
    </row>
    <row r="26" spans="1:9" customFormat="1" x14ac:dyDescent="0.2">
      <c r="A26" s="1"/>
      <c r="B26" s="29">
        <v>43617</v>
      </c>
      <c r="C26" s="19">
        <v>115.3</v>
      </c>
      <c r="D26" s="3"/>
      <c r="E26" s="3"/>
      <c r="F26" s="3"/>
      <c r="G26" s="3"/>
      <c r="H26" s="3"/>
      <c r="I26" s="3"/>
    </row>
    <row r="27" spans="1:9" customFormat="1" x14ac:dyDescent="0.2">
      <c r="A27" s="1"/>
      <c r="B27" s="29">
        <v>43800</v>
      </c>
      <c r="C27" s="19">
        <v>116.7</v>
      </c>
      <c r="D27" s="3"/>
      <c r="E27" s="3"/>
      <c r="F27" s="3"/>
      <c r="G27" s="3"/>
      <c r="H27" s="3"/>
      <c r="I27" s="3"/>
    </row>
    <row r="28" spans="1:9" customFormat="1" x14ac:dyDescent="0.2">
      <c r="A28" s="1"/>
      <c r="B28" s="29">
        <v>43983</v>
      </c>
      <c r="C28" s="19">
        <v>115.8</v>
      </c>
      <c r="D28" s="3"/>
      <c r="E28" s="3"/>
      <c r="F28" s="3"/>
      <c r="G28" s="3"/>
      <c r="H28" s="3"/>
      <c r="I28" s="3"/>
    </row>
    <row r="29" spans="1:9" customFormat="1" x14ac:dyDescent="0.2">
      <c r="A29" s="1"/>
      <c r="B29" s="1"/>
      <c r="C29" s="1"/>
      <c r="D29" s="1"/>
      <c r="E29" s="1"/>
      <c r="F29" s="1"/>
      <c r="G29" s="1"/>
      <c r="H29" s="1"/>
      <c r="I29" s="1"/>
    </row>
    <row r="30" spans="1:9" customFormat="1" ht="15.75" x14ac:dyDescent="0.25">
      <c r="B30" s="21" t="s">
        <v>73</v>
      </c>
      <c r="C30" s="21"/>
      <c r="D30" s="21"/>
      <c r="E30" s="21"/>
      <c r="F30" s="21"/>
      <c r="G30" s="21"/>
      <c r="H30" s="21"/>
      <c r="I30" s="21"/>
    </row>
    <row r="31" spans="1:9" customFormat="1" x14ac:dyDescent="0.2"/>
    <row r="32" spans="1:9" customFormat="1" ht="15.75" x14ac:dyDescent="0.25">
      <c r="B32" s="8"/>
      <c r="C32" s="8" t="s">
        <v>74</v>
      </c>
      <c r="D32" s="8" t="s">
        <v>24</v>
      </c>
      <c r="E32" s="23" t="s">
        <v>7</v>
      </c>
      <c r="F32" s="8" t="s">
        <v>75</v>
      </c>
      <c r="G32" s="8"/>
      <c r="H32" s="8"/>
      <c r="I32" s="8"/>
    </row>
    <row r="33" spans="1:9" customFormat="1" x14ac:dyDescent="0.2">
      <c r="B33" s="3" t="s">
        <v>33</v>
      </c>
      <c r="C33" s="22">
        <v>0.94569999999999999</v>
      </c>
      <c r="D33" s="22">
        <v>0.88009999999999999</v>
      </c>
      <c r="E33" s="30">
        <f t="shared" ref="E33:E38" si="0">IF(Region=$C$32,C33,D33)</f>
        <v>0.94569999999999999</v>
      </c>
      <c r="F33" s="3" t="s">
        <v>76</v>
      </c>
      <c r="G33" s="3"/>
      <c r="H33" s="3"/>
      <c r="I33" s="3"/>
    </row>
    <row r="34" spans="1:9" customFormat="1" x14ac:dyDescent="0.2">
      <c r="B34" s="3" t="s">
        <v>34</v>
      </c>
      <c r="C34" s="22">
        <v>0.01</v>
      </c>
      <c r="D34" s="22">
        <v>1.38E-2</v>
      </c>
      <c r="E34" s="30">
        <f t="shared" si="0"/>
        <v>0.01</v>
      </c>
      <c r="F34" s="3" t="s">
        <v>77</v>
      </c>
      <c r="G34" s="3"/>
      <c r="H34" s="3"/>
      <c r="I34" s="3"/>
    </row>
    <row r="35" spans="1:9" customFormat="1" x14ac:dyDescent="0.2">
      <c r="B35" s="3" t="s">
        <v>35</v>
      </c>
      <c r="C35" s="22">
        <v>2.0400000000000001E-2</v>
      </c>
      <c r="D35" s="22">
        <v>2.8199999999999999E-2</v>
      </c>
      <c r="E35" s="30">
        <f t="shared" si="0"/>
        <v>2.0400000000000001E-2</v>
      </c>
      <c r="F35" s="3" t="s">
        <v>78</v>
      </c>
      <c r="G35" s="3"/>
      <c r="H35" s="3"/>
      <c r="I35" s="3"/>
    </row>
    <row r="36" spans="1:9" customFormat="1" x14ac:dyDescent="0.2">
      <c r="B36" s="3" t="s">
        <v>36</v>
      </c>
      <c r="C36" s="22">
        <v>8.6E-3</v>
      </c>
      <c r="D36" s="22">
        <v>7.7000000000000002E-3</v>
      </c>
      <c r="E36" s="30">
        <f t="shared" si="0"/>
        <v>8.6E-3</v>
      </c>
      <c r="F36" s="3" t="s">
        <v>79</v>
      </c>
      <c r="G36" s="3"/>
      <c r="H36" s="3"/>
      <c r="I36" s="3"/>
    </row>
    <row r="37" spans="1:9" customFormat="1" x14ac:dyDescent="0.2">
      <c r="B37" s="3" t="s">
        <v>37</v>
      </c>
      <c r="C37" s="22">
        <v>7.6E-3</v>
      </c>
      <c r="D37" s="22">
        <v>3.0700000000000002E-2</v>
      </c>
      <c r="E37" s="30">
        <f t="shared" si="0"/>
        <v>7.6E-3</v>
      </c>
      <c r="F37" s="3"/>
      <c r="G37" s="3"/>
      <c r="H37" s="3"/>
      <c r="I37" s="3"/>
    </row>
    <row r="38" spans="1:9" customFormat="1" x14ac:dyDescent="0.2">
      <c r="A38" s="1"/>
      <c r="B38" s="3" t="s">
        <v>38</v>
      </c>
      <c r="C38" s="22">
        <v>7.7000000000000002E-3</v>
      </c>
      <c r="D38" s="22">
        <v>3.95E-2</v>
      </c>
      <c r="E38" s="30">
        <f t="shared" si="0"/>
        <v>7.7000000000000002E-3</v>
      </c>
      <c r="F38" s="3"/>
      <c r="G38" s="3"/>
      <c r="H38" s="3"/>
      <c r="I38" s="3"/>
    </row>
    <row r="39" spans="1:9" customFormat="1" x14ac:dyDescent="0.2">
      <c r="A39" s="1"/>
      <c r="B39" s="1"/>
      <c r="C39" s="1"/>
    </row>
    <row r="40" spans="1:9" customFormat="1" ht="15.75" x14ac:dyDescent="0.25">
      <c r="B40" s="21" t="s">
        <v>80</v>
      </c>
      <c r="C40" s="21"/>
      <c r="D40" s="21"/>
      <c r="E40" s="21"/>
      <c r="F40" s="21"/>
      <c r="G40" s="21"/>
      <c r="H40" s="21"/>
      <c r="I40" s="21"/>
    </row>
    <row r="41" spans="1:9" customFormat="1" x14ac:dyDescent="0.2"/>
    <row r="42" spans="1:9" customFormat="1" ht="15.75" x14ac:dyDescent="0.25">
      <c r="B42" s="8" t="s">
        <v>71</v>
      </c>
      <c r="C42" s="8"/>
      <c r="D42" s="8"/>
      <c r="E42" s="8"/>
    </row>
    <row r="43" spans="1:9" customFormat="1" x14ac:dyDescent="0.2">
      <c r="B43" s="31" t="s">
        <v>81</v>
      </c>
      <c r="C43" s="10"/>
      <c r="D43" s="10"/>
      <c r="E43" s="32"/>
    </row>
    <row r="44" spans="1:9" customFormat="1" x14ac:dyDescent="0.2">
      <c r="B44" s="33" t="s">
        <v>82</v>
      </c>
      <c r="E44" s="34"/>
    </row>
    <row r="45" spans="1:9" customFormat="1" x14ac:dyDescent="0.2">
      <c r="B45" s="35" t="s">
        <v>83</v>
      </c>
      <c r="E45" s="34"/>
    </row>
    <row r="46" spans="1:9" customFormat="1" x14ac:dyDescent="0.2">
      <c r="B46" s="35" t="s">
        <v>84</v>
      </c>
      <c r="E46" s="34"/>
    </row>
    <row r="47" spans="1:9" customFormat="1" x14ac:dyDescent="0.2">
      <c r="B47" s="35" t="s">
        <v>85</v>
      </c>
      <c r="E47" s="34"/>
    </row>
    <row r="48" spans="1:9" customFormat="1" x14ac:dyDescent="0.2">
      <c r="B48" s="36" t="s">
        <v>86</v>
      </c>
      <c r="C48" s="37"/>
      <c r="D48" s="37"/>
      <c r="E48" s="38"/>
    </row>
    <row r="49" spans="1:9" customFormat="1" x14ac:dyDescent="0.2"/>
    <row r="50" spans="1:9" customFormat="1" ht="15.75" x14ac:dyDescent="0.25">
      <c r="A50" s="1"/>
      <c r="B50" s="8" t="s">
        <v>87</v>
      </c>
      <c r="C50" s="8" t="s">
        <v>74</v>
      </c>
      <c r="D50" s="8" t="s">
        <v>24</v>
      </c>
      <c r="E50" s="8"/>
      <c r="F50" s="8"/>
      <c r="G50" s="8"/>
      <c r="H50" s="8"/>
      <c r="I50" s="8"/>
    </row>
    <row r="51" spans="1:9" customFormat="1" x14ac:dyDescent="0.2">
      <c r="A51" s="1"/>
      <c r="B51" s="3" t="s">
        <v>33</v>
      </c>
      <c r="C51" s="19">
        <f>1.6*14.99*CPI_2020/CPI_2013</f>
        <v>26.912279069767443</v>
      </c>
      <c r="D51" s="19">
        <f>1.7*14.99*CPI_2020/CPI_2013</f>
        <v>28.594296511627906</v>
      </c>
      <c r="E51" s="3" t="s">
        <v>88</v>
      </c>
      <c r="F51" s="3"/>
      <c r="G51" s="3"/>
      <c r="H51" s="3"/>
      <c r="I51" s="3"/>
    </row>
    <row r="52" spans="1:9" customFormat="1" x14ac:dyDescent="0.2">
      <c r="A52" s="1"/>
      <c r="B52" s="3" t="s">
        <v>34</v>
      </c>
      <c r="C52" s="19">
        <f>(1.2*25.72+4.15)*CPI_2020/CPI_2013</f>
        <v>39.288965116279066</v>
      </c>
      <c r="D52" s="19">
        <f>(1.2*25.72+2.11)*CPI_2020/CPI_2013</f>
        <v>36.999895348837207</v>
      </c>
      <c r="E52" s="3" t="s">
        <v>89</v>
      </c>
      <c r="F52" s="3"/>
      <c r="G52" s="3"/>
      <c r="H52" s="3"/>
      <c r="I52" s="3"/>
    </row>
    <row r="53" spans="1:9" customFormat="1" x14ac:dyDescent="0.2">
      <c r="A53" s="1"/>
      <c r="B53" s="3" t="s">
        <v>35</v>
      </c>
      <c r="C53" s="19">
        <f>(1*26.19+14.2)*CPI_2020/CPI_2013</f>
        <v>45.321337209302328</v>
      </c>
      <c r="D53" s="19">
        <f>(1*26.19+7.22)*CPI_2020/CPI_2013</f>
        <v>37.489127906976748</v>
      </c>
      <c r="E53" s="3" t="s">
        <v>90</v>
      </c>
      <c r="F53" s="3"/>
      <c r="G53" s="3"/>
      <c r="H53" s="3"/>
      <c r="I53" s="3"/>
    </row>
    <row r="54" spans="1:9" customFormat="1" x14ac:dyDescent="0.2">
      <c r="A54" s="1"/>
      <c r="B54" s="3" t="s">
        <v>36</v>
      </c>
      <c r="C54" s="19">
        <f>(1*25.72+20*14.99)*CPI_2020/CPI_2013</f>
        <v>365.26372093023252</v>
      </c>
      <c r="D54" s="19">
        <f>(1*25.72+20*14.99)*CPI_2020/CPI_2013</f>
        <v>365.26372093023252</v>
      </c>
      <c r="E54" s="3" t="s">
        <v>91</v>
      </c>
      <c r="F54" s="3"/>
      <c r="G54" s="3"/>
      <c r="H54" s="3"/>
      <c r="I54" s="3"/>
    </row>
    <row r="55" spans="1:9" customFormat="1" x14ac:dyDescent="0.2">
      <c r="A55" s="1"/>
      <c r="B55" s="3" t="s">
        <v>37</v>
      </c>
      <c r="C55" s="19">
        <f>(1*26.81+42.06)*CPI_2020/CPI_2013</f>
        <v>77.278546511627908</v>
      </c>
      <c r="D55" s="19">
        <f>(1*26.81+21.36)*CPI_2020/CPI_2013</f>
        <v>54.05122093023256</v>
      </c>
      <c r="E55" s="3" t="s">
        <v>92</v>
      </c>
      <c r="F55" s="3"/>
      <c r="G55" s="3"/>
      <c r="H55" s="3"/>
      <c r="I55" s="3"/>
    </row>
    <row r="56" spans="1:9" customFormat="1" x14ac:dyDescent="0.2">
      <c r="A56" s="1"/>
      <c r="B56" s="3" t="s">
        <v>38</v>
      </c>
      <c r="C56" s="19">
        <f>(1*27.2+64.91)*CPI_2020/CPI_2013</f>
        <v>103.35598837209302</v>
      </c>
      <c r="D56" s="19">
        <f>(1*27.2+31.46)*CPI_2020/CPI_2013</f>
        <v>65.821976744186045</v>
      </c>
      <c r="E56" s="3" t="s">
        <v>93</v>
      </c>
      <c r="F56" s="3"/>
      <c r="G56" s="3"/>
      <c r="H56" s="3"/>
      <c r="I56" s="3"/>
    </row>
    <row r="57" spans="1:9" customFormat="1" x14ac:dyDescent="0.2">
      <c r="A57" s="1"/>
      <c r="B57" s="3" t="s">
        <v>29</v>
      </c>
      <c r="C57" s="4">
        <f>SUMPRODUCT(C51:C56,$E$33:$E$38)</f>
        <v>31.292813310465117</v>
      </c>
      <c r="D57" s="4">
        <f>SUMPRODUCT(D51:D56,$E$33:$E$38)</f>
        <v>32.23528987383721</v>
      </c>
    </row>
    <row r="59" spans="1:9" customFormat="1" ht="15.75" x14ac:dyDescent="0.25">
      <c r="A59" s="1"/>
      <c r="B59" s="8" t="s">
        <v>157</v>
      </c>
      <c r="C59" s="8" t="s">
        <v>74</v>
      </c>
      <c r="D59" s="8" t="s">
        <v>24</v>
      </c>
      <c r="E59" s="8"/>
      <c r="F59" s="8"/>
      <c r="G59" s="8"/>
      <c r="H59" s="8"/>
      <c r="I59" s="8"/>
    </row>
    <row r="60" spans="1:9" customFormat="1" x14ac:dyDescent="0.2">
      <c r="A60" s="1"/>
      <c r="B60" s="3" t="s">
        <v>33</v>
      </c>
      <c r="C60" s="39">
        <v>1.6</v>
      </c>
      <c r="D60" s="39">
        <v>1.7</v>
      </c>
      <c r="E60" s="3" t="s">
        <v>94</v>
      </c>
      <c r="F60" s="3"/>
      <c r="G60" s="3"/>
      <c r="H60" s="3"/>
      <c r="I60" s="3"/>
    </row>
    <row r="61" spans="1:9" customFormat="1" x14ac:dyDescent="0.2">
      <c r="A61" s="1"/>
      <c r="B61" s="3" t="s">
        <v>34</v>
      </c>
      <c r="C61" s="39">
        <v>1.2</v>
      </c>
      <c r="D61" s="39">
        <v>1.2</v>
      </c>
      <c r="E61" s="3"/>
      <c r="F61" s="3"/>
      <c r="G61" s="3"/>
      <c r="H61" s="3"/>
      <c r="I61" s="3"/>
    </row>
    <row r="62" spans="1:9" customFormat="1" x14ac:dyDescent="0.2">
      <c r="A62" s="1"/>
      <c r="B62" s="3" t="s">
        <v>35</v>
      </c>
      <c r="C62" s="39">
        <v>1</v>
      </c>
      <c r="D62" s="39">
        <v>1</v>
      </c>
      <c r="E62" s="3"/>
      <c r="F62" s="3"/>
      <c r="G62" s="3"/>
      <c r="H62" s="3"/>
      <c r="I62" s="3"/>
    </row>
    <row r="63" spans="1:9" customFormat="1" x14ac:dyDescent="0.2">
      <c r="A63" s="1"/>
      <c r="B63" s="3" t="s">
        <v>36</v>
      </c>
      <c r="C63" s="39">
        <v>21</v>
      </c>
      <c r="D63" s="39">
        <v>21</v>
      </c>
      <c r="E63" s="3"/>
      <c r="F63" s="3"/>
      <c r="G63" s="3"/>
      <c r="H63" s="3"/>
      <c r="I63" s="3"/>
    </row>
    <row r="64" spans="1:9" customFormat="1" x14ac:dyDescent="0.2">
      <c r="A64" s="1"/>
      <c r="B64" s="3" t="s">
        <v>37</v>
      </c>
      <c r="C64" s="39">
        <v>1</v>
      </c>
      <c r="D64" s="39">
        <v>1</v>
      </c>
      <c r="E64" s="3"/>
      <c r="F64" s="3"/>
      <c r="G64" s="3"/>
      <c r="H64" s="3"/>
      <c r="I64" s="3"/>
    </row>
    <row r="65" spans="1:9" customFormat="1" x14ac:dyDescent="0.2">
      <c r="A65" s="1"/>
      <c r="B65" s="3" t="s">
        <v>38</v>
      </c>
      <c r="C65" s="39">
        <v>1</v>
      </c>
      <c r="D65" s="39">
        <v>1</v>
      </c>
      <c r="E65" s="3"/>
      <c r="F65" s="3"/>
      <c r="G65" s="3"/>
      <c r="H65" s="3"/>
      <c r="I65" s="3"/>
    </row>
    <row r="66" spans="1:9" customFormat="1" x14ac:dyDescent="0.2">
      <c r="A66" s="1"/>
      <c r="B66" s="3" t="s">
        <v>29</v>
      </c>
      <c r="C66" s="4">
        <f>SUMPRODUCT(C60:C65,$E$33:$E$38)</f>
        <v>1.7414200000000002</v>
      </c>
      <c r="D66" s="4">
        <f>SUMPRODUCT(D60:D65,$E$33:$E$38)</f>
        <v>1.83599</v>
      </c>
      <c r="E66" s="3"/>
      <c r="F66" s="3"/>
      <c r="G66" s="3"/>
      <c r="H66" s="3"/>
      <c r="I66" s="3"/>
    </row>
    <row r="68" spans="1:9" customFormat="1" ht="15.75" x14ac:dyDescent="0.25">
      <c r="B68" s="21" t="s">
        <v>172</v>
      </c>
      <c r="C68" s="21"/>
      <c r="D68" s="21"/>
      <c r="E68" s="21"/>
      <c r="F68" s="21"/>
      <c r="G68" s="21"/>
      <c r="H68" s="21"/>
      <c r="I68" s="21"/>
    </row>
    <row r="69" spans="1:9" customFormat="1" x14ac:dyDescent="0.2"/>
    <row r="70" spans="1:9" customFormat="1" ht="15.75" x14ac:dyDescent="0.25">
      <c r="A70" s="1"/>
      <c r="B70" s="8" t="s">
        <v>71</v>
      </c>
      <c r="C70" s="8"/>
      <c r="D70" s="8"/>
      <c r="E70" s="8"/>
    </row>
    <row r="71" spans="1:9" customFormat="1" x14ac:dyDescent="0.2">
      <c r="A71" s="1"/>
      <c r="B71" s="31" t="s">
        <v>173</v>
      </c>
      <c r="C71" s="10"/>
      <c r="D71" s="10"/>
      <c r="E71" s="32"/>
    </row>
    <row r="72" spans="1:9" customFormat="1" x14ac:dyDescent="0.2">
      <c r="A72" s="1"/>
      <c r="B72" s="33" t="s">
        <v>77</v>
      </c>
      <c r="E72" s="34"/>
    </row>
    <row r="73" spans="1:9" customFormat="1" ht="15.75" x14ac:dyDescent="0.25">
      <c r="A73" s="1"/>
      <c r="B73" s="1"/>
      <c r="C73" s="66"/>
      <c r="D73" s="66"/>
      <c r="E73" s="66"/>
      <c r="F73" s="66"/>
    </row>
    <row r="74" spans="1:9" customFormat="1" ht="47.25" x14ac:dyDescent="0.25">
      <c r="A74" s="1"/>
      <c r="B74" s="8" t="s">
        <v>165</v>
      </c>
      <c r="C74" s="23" t="s">
        <v>166</v>
      </c>
      <c r="D74" s="23" t="s">
        <v>167</v>
      </c>
      <c r="E74" s="23" t="s">
        <v>168</v>
      </c>
      <c r="F74" s="23" t="s">
        <v>178</v>
      </c>
      <c r="G74" s="23" t="s">
        <v>179</v>
      </c>
    </row>
    <row r="75" spans="1:9" customFormat="1" x14ac:dyDescent="0.2">
      <c r="A75" s="1"/>
      <c r="B75" s="3" t="s">
        <v>169</v>
      </c>
      <c r="C75" s="19">
        <v>4.62</v>
      </c>
      <c r="D75" s="19">
        <v>0.04</v>
      </c>
      <c r="E75" s="19">
        <v>75.92</v>
      </c>
      <c r="F75" s="19">
        <v>7.8</v>
      </c>
      <c r="G75" s="76">
        <f>F75*CPI_2020/CPI_2019</f>
        <v>7.8338248048568957</v>
      </c>
    </row>
    <row r="76" spans="1:9" customFormat="1" x14ac:dyDescent="0.2">
      <c r="A76" s="1"/>
      <c r="B76" s="3" t="s">
        <v>170</v>
      </c>
      <c r="C76" s="19">
        <v>10.7</v>
      </c>
      <c r="D76" s="19">
        <v>0.22</v>
      </c>
      <c r="E76" s="19">
        <v>82.61</v>
      </c>
      <c r="F76" s="19">
        <v>29.2</v>
      </c>
      <c r="G76" s="77">
        <f>F76*CPI_2020/CPI_2019</f>
        <v>29.326626192541195</v>
      </c>
    </row>
    <row r="77" spans="1:9" customFormat="1" x14ac:dyDescent="0.2">
      <c r="A77" s="1"/>
      <c r="B77" s="3" t="s">
        <v>171</v>
      </c>
      <c r="C77" s="19">
        <v>19.600000000000001</v>
      </c>
      <c r="D77" s="19">
        <v>0.72</v>
      </c>
      <c r="E77" s="19">
        <v>82.61</v>
      </c>
      <c r="F77" s="19">
        <v>78.88</v>
      </c>
      <c r="G77" s="78">
        <f>F77*CPI_2020/CPI_2019</f>
        <v>79.222064180398959</v>
      </c>
    </row>
    <row r="78" spans="1:9" customFormat="1" x14ac:dyDescent="0.2">
      <c r="A78" s="1"/>
      <c r="B78" s="3" t="s">
        <v>148</v>
      </c>
      <c r="C78" s="79">
        <f>$E$33*C75+SUM($E$34:$E$38)*C77</f>
        <v>5.433414</v>
      </c>
      <c r="D78" s="80">
        <f>$E$33*D75+SUM($E$34:$E$38)*D77</f>
        <v>7.6924000000000006E-2</v>
      </c>
      <c r="E78" s="80">
        <f>$E$33*E75+SUM($E$34:$E$38)*E77</f>
        <v>76.283267000000009</v>
      </c>
      <c r="F78" s="80">
        <f>$E$33*F75+SUM($E$34:$E$38)*F77</f>
        <v>11.659644</v>
      </c>
      <c r="G78" s="81">
        <f>$E$33*G75+SUM($E$34:$E$38)*G77</f>
        <v>11.710206202948831</v>
      </c>
    </row>
  </sheetData>
  <hyperlinks>
    <hyperlink ref="B44" r:id="rId1" xr:uid="{4C4F149E-598E-4673-90A5-E43E4FCEDFCB}"/>
    <hyperlink ref="B72" r:id="rId2" xr:uid="{A75B7388-EAA3-4BEA-9C5F-316A52724CC3}"/>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B35B4-E21C-465E-9E5A-166E76A0BEDF}">
  <sheetPr>
    <tabColor rgb="FF99FFCC"/>
  </sheetPr>
  <dimension ref="A1:Z113"/>
  <sheetViews>
    <sheetView showGridLines="0" zoomScale="70" zoomScaleNormal="70" workbookViewId="0">
      <selection activeCell="E42" sqref="E42"/>
    </sheetView>
  </sheetViews>
  <sheetFormatPr defaultColWidth="8.88671875" defaultRowHeight="15" x14ac:dyDescent="0.2"/>
  <cols>
    <col min="1" max="1" width="18.5546875" style="1" customWidth="1"/>
    <col min="2" max="2" width="39.77734375" style="1" customWidth="1"/>
    <col min="3" max="4" width="16.88671875" style="1" customWidth="1"/>
    <col min="5" max="5" width="17.21875" customWidth="1"/>
    <col min="6" max="6" width="9.88671875" customWidth="1"/>
    <col min="7" max="7" width="32.77734375" customWidth="1"/>
    <col min="8" max="9" width="16.88671875" customWidth="1"/>
    <col min="10" max="10" width="17.21875" customWidth="1"/>
    <col min="11" max="25" width="8.77734375" customWidth="1"/>
    <col min="26" max="26" width="12.44140625" style="1" bestFit="1" customWidth="1"/>
    <col min="27" max="16384" width="8.88671875" style="1"/>
  </cols>
  <sheetData>
    <row r="1" spans="1:26" ht="18" x14ac:dyDescent="0.25">
      <c r="A1" s="2" t="str">
        <f ca="1">MID(CELL("filename",A2),FIND("]",CELL("filename",A2))+1,256)</f>
        <v>Safety</v>
      </c>
    </row>
    <row r="2" spans="1:26" x14ac:dyDescent="0.2">
      <c r="A2" s="5" t="s">
        <v>0</v>
      </c>
    </row>
    <row r="4" spans="1:26" ht="20.25" x14ac:dyDescent="0.3">
      <c r="B4" s="18" t="s">
        <v>126</v>
      </c>
      <c r="C4" s="18"/>
      <c r="D4" s="18"/>
      <c r="E4" s="18"/>
      <c r="F4" s="18"/>
      <c r="G4" s="18"/>
      <c r="H4" s="18"/>
      <c r="I4" s="18"/>
      <c r="J4" s="18"/>
      <c r="K4" s="18"/>
      <c r="L4" s="18"/>
      <c r="M4" s="18"/>
      <c r="Z4"/>
    </row>
    <row r="6" spans="1:26" ht="15.75" x14ac:dyDescent="0.25">
      <c r="B6" s="14" t="s">
        <v>140</v>
      </c>
      <c r="C6" s="14"/>
      <c r="D6" s="14"/>
      <c r="E6" s="14"/>
    </row>
    <row r="7" spans="1:26" x14ac:dyDescent="0.2">
      <c r="E7" s="1"/>
    </row>
    <row r="8" spans="1:26" ht="15.75" x14ac:dyDescent="0.25">
      <c r="B8" s="48" t="s">
        <v>71</v>
      </c>
      <c r="C8" s="55"/>
      <c r="D8" s="55"/>
      <c r="E8" s="49"/>
    </row>
    <row r="9" spans="1:26" x14ac:dyDescent="0.2">
      <c r="B9" s="60" t="s">
        <v>141</v>
      </c>
      <c r="C9" s="61"/>
      <c r="D9" s="61"/>
      <c r="E9" s="62"/>
    </row>
    <row r="10" spans="1:26" x14ac:dyDescent="0.2">
      <c r="E10" s="1"/>
    </row>
    <row r="11" spans="1:26" ht="31.5" x14ac:dyDescent="0.25">
      <c r="B11" s="8" t="s">
        <v>147</v>
      </c>
      <c r="C11" s="23" t="s">
        <v>146</v>
      </c>
    </row>
    <row r="12" spans="1:26" x14ac:dyDescent="0.2">
      <c r="B12" s="50" t="s">
        <v>142</v>
      </c>
      <c r="C12" s="13">
        <v>130577</v>
      </c>
    </row>
    <row r="13" spans="1:26" x14ac:dyDescent="0.2">
      <c r="B13" s="3" t="s">
        <v>143</v>
      </c>
      <c r="C13" s="13">
        <v>42127</v>
      </c>
    </row>
    <row r="14" spans="1:26" x14ac:dyDescent="0.2">
      <c r="B14" s="3" t="s">
        <v>144</v>
      </c>
      <c r="C14" s="13">
        <v>54468</v>
      </c>
    </row>
    <row r="15" spans="1:26" x14ac:dyDescent="0.2">
      <c r="B15" s="3" t="s">
        <v>145</v>
      </c>
      <c r="C15" s="13">
        <v>11327</v>
      </c>
    </row>
    <row r="16" spans="1:26" x14ac:dyDescent="0.2">
      <c r="B16" s="3" t="s">
        <v>29</v>
      </c>
      <c r="C16" s="12">
        <f>SUM(C12:C15)</f>
        <v>238499</v>
      </c>
    </row>
    <row r="18" spans="2:13" ht="15.75" x14ac:dyDescent="0.25">
      <c r="B18" s="14" t="s">
        <v>149</v>
      </c>
      <c r="C18" s="14"/>
      <c r="D18" s="14"/>
      <c r="E18" s="14"/>
    </row>
    <row r="20" spans="2:13" ht="15.75" x14ac:dyDescent="0.25">
      <c r="B20" s="48" t="s">
        <v>71</v>
      </c>
      <c r="C20" s="55"/>
      <c r="D20" s="55"/>
      <c r="E20" s="49"/>
    </row>
    <row r="21" spans="2:13" x14ac:dyDescent="0.2">
      <c r="B21" s="57" t="s">
        <v>138</v>
      </c>
      <c r="C21" s="58"/>
      <c r="D21" s="58"/>
      <c r="E21" s="59"/>
    </row>
    <row r="22" spans="2:13" x14ac:dyDescent="0.2">
      <c r="B22" s="60"/>
      <c r="C22" s="61"/>
      <c r="D22" s="61"/>
      <c r="E22" s="62"/>
    </row>
    <row r="23" spans="2:13" x14ac:dyDescent="0.2">
      <c r="E23" s="1"/>
    </row>
    <row r="24" spans="2:13" ht="15.75" x14ac:dyDescent="0.25">
      <c r="B24" s="8" t="s">
        <v>9</v>
      </c>
      <c r="C24" s="8" t="s">
        <v>74</v>
      </c>
      <c r="D24" s="8" t="s">
        <v>24</v>
      </c>
      <c r="E24" s="8" t="s">
        <v>148</v>
      </c>
    </row>
    <row r="25" spans="2:13" x14ac:dyDescent="0.2">
      <c r="B25" s="50" t="s">
        <v>10</v>
      </c>
      <c r="C25" s="56">
        <f>1.71/10^7</f>
        <v>1.7100000000000001E-7</v>
      </c>
      <c r="D25" s="56">
        <f>1.3/10^7</f>
        <v>1.3E-7</v>
      </c>
      <c r="E25" s="63">
        <f>(C25*($C$12+$C$13)+D25*($C$14+$C$15))/$C$16</f>
        <v>1.5968928171606591E-7</v>
      </c>
    </row>
    <row r="26" spans="2:13" x14ac:dyDescent="0.2">
      <c r="B26" s="3" t="s">
        <v>139</v>
      </c>
      <c r="C26" s="56">
        <f>23.69/10^8</f>
        <v>2.3690000000000001E-7</v>
      </c>
      <c r="D26" s="56">
        <f>14.76/10^8</f>
        <v>1.476E-7</v>
      </c>
      <c r="E26" s="63">
        <f>(C26*($C$12+$C$13)+D26*($C$14+$C$15))/$C$16</f>
        <v>2.122647038352362E-7</v>
      </c>
    </row>
    <row r="28" spans="2:13" ht="15.75" x14ac:dyDescent="0.25">
      <c r="B28" s="14" t="s">
        <v>151</v>
      </c>
      <c r="C28" s="14"/>
      <c r="D28" s="14"/>
      <c r="E28" s="14"/>
      <c r="G28" s="14" t="s">
        <v>150</v>
      </c>
      <c r="H28" s="14"/>
      <c r="I28" s="14"/>
      <c r="J28" s="14"/>
      <c r="K28" s="14"/>
      <c r="L28" s="14"/>
      <c r="M28" s="14"/>
    </row>
    <row r="30" spans="2:13" ht="15.75" x14ac:dyDescent="0.25">
      <c r="B30" s="8" t="s">
        <v>71</v>
      </c>
      <c r="C30" s="8"/>
      <c r="G30" s="8" t="s">
        <v>71</v>
      </c>
      <c r="H30" s="8"/>
      <c r="I30" s="1"/>
    </row>
    <row r="31" spans="2:13" x14ac:dyDescent="0.2">
      <c r="B31" s="53"/>
      <c r="C31" s="54"/>
      <c r="G31" s="53" t="s">
        <v>137</v>
      </c>
      <c r="H31" s="54"/>
      <c r="I31" s="1"/>
    </row>
    <row r="32" spans="2:13" x14ac:dyDescent="0.2">
      <c r="G32" s="1"/>
      <c r="H32" s="1"/>
      <c r="I32" s="1"/>
    </row>
    <row r="33" spans="2:13" ht="31.5" x14ac:dyDescent="0.25">
      <c r="B33" s="8" t="s">
        <v>134</v>
      </c>
      <c r="C33" s="8" t="s">
        <v>133</v>
      </c>
      <c r="D33" s="23" t="s">
        <v>135</v>
      </c>
      <c r="E33" s="23" t="s">
        <v>136</v>
      </c>
      <c r="G33" s="8" t="s">
        <v>134</v>
      </c>
      <c r="H33" s="8" t="s">
        <v>133</v>
      </c>
      <c r="I33" s="23" t="s">
        <v>135</v>
      </c>
      <c r="J33" s="23" t="s">
        <v>136</v>
      </c>
    </row>
    <row r="34" spans="2:13" x14ac:dyDescent="0.2">
      <c r="B34" s="3" t="s">
        <v>33</v>
      </c>
      <c r="C34" s="85">
        <f>H34*$E$25/$E$26</f>
        <v>2.9062685154946912</v>
      </c>
      <c r="D34" s="86">
        <f t="shared" ref="D34:D39" si="0">I34*$E$25/$E$26</f>
        <v>100.20151492428738</v>
      </c>
      <c r="E34" s="87">
        <f t="shared" ref="E34:E39" si="1">J34*$E$25/$E$26</f>
        <v>234.68790005732828</v>
      </c>
      <c r="G34" s="3" t="s">
        <v>33</v>
      </c>
      <c r="H34" s="19">
        <v>3.8631160405870104</v>
      </c>
      <c r="I34" s="19">
        <v>133.19143689971284</v>
      </c>
      <c r="J34" s="19">
        <v>311.9555493270808</v>
      </c>
    </row>
    <row r="35" spans="2:13" x14ac:dyDescent="0.2">
      <c r="B35" s="3" t="s">
        <v>34</v>
      </c>
      <c r="C35" s="88">
        <f t="shared" ref="C35:C39" si="2">H35*$E$25/$E$26</f>
        <v>6.7781342272675458</v>
      </c>
      <c r="D35" s="67">
        <f t="shared" si="0"/>
        <v>57.584058269754308</v>
      </c>
      <c r="E35" s="89">
        <f t="shared" si="1"/>
        <v>134.8710318633297</v>
      </c>
      <c r="G35" s="3" t="s">
        <v>34</v>
      </c>
      <c r="H35" s="19">
        <v>9.0097384047640396</v>
      </c>
      <c r="I35" s="19">
        <v>76.542789490364726</v>
      </c>
      <c r="J35" s="19">
        <v>179.27539861645053</v>
      </c>
    </row>
    <row r="36" spans="2:13" x14ac:dyDescent="0.2">
      <c r="B36" s="3" t="s">
        <v>35</v>
      </c>
      <c r="C36" s="88">
        <f t="shared" si="2"/>
        <v>6.7781342272675458</v>
      </c>
      <c r="D36" s="67">
        <f t="shared" si="0"/>
        <v>57.584058269754308</v>
      </c>
      <c r="E36" s="89">
        <f t="shared" si="1"/>
        <v>134.8710318633297</v>
      </c>
      <c r="G36" s="3" t="s">
        <v>35</v>
      </c>
      <c r="H36" s="19">
        <v>9.0097384047640396</v>
      </c>
      <c r="I36" s="19">
        <v>76.542789490364726</v>
      </c>
      <c r="J36" s="19">
        <v>179.27539861645053</v>
      </c>
    </row>
    <row r="37" spans="2:13" x14ac:dyDescent="0.2">
      <c r="B37" s="3" t="s">
        <v>36</v>
      </c>
      <c r="C37" s="88">
        <f t="shared" si="2"/>
        <v>6.1841172099586226</v>
      </c>
      <c r="D37" s="67">
        <f t="shared" si="0"/>
        <v>52.537549984282947</v>
      </c>
      <c r="E37" s="89">
        <f t="shared" si="1"/>
        <v>123.05130605345462</v>
      </c>
      <c r="G37" s="3" t="s">
        <v>36</v>
      </c>
      <c r="H37" s="19">
        <v>8.2201497429754546</v>
      </c>
      <c r="I37" s="19">
        <v>69.834790211350665</v>
      </c>
      <c r="J37" s="19">
        <v>163.56419638994308</v>
      </c>
    </row>
    <row r="38" spans="2:13" x14ac:dyDescent="0.2">
      <c r="B38" s="3" t="s">
        <v>37</v>
      </c>
      <c r="C38" s="88">
        <f t="shared" si="2"/>
        <v>8.1925416405455973</v>
      </c>
      <c r="D38" s="67">
        <f t="shared" si="0"/>
        <v>69.600243870759954</v>
      </c>
      <c r="E38" s="89">
        <f t="shared" si="1"/>
        <v>163.01485152044725</v>
      </c>
      <c r="G38" s="3" t="s">
        <v>37</v>
      </c>
      <c r="H38" s="19">
        <v>10.88981931849529</v>
      </c>
      <c r="I38" s="19">
        <v>92.515133096755207</v>
      </c>
      <c r="J38" s="19">
        <v>216.68517014346051</v>
      </c>
    </row>
    <row r="39" spans="2:13" x14ac:dyDescent="0.2">
      <c r="B39" s="3" t="s">
        <v>38</v>
      </c>
      <c r="C39" s="90">
        <f t="shared" si="2"/>
        <v>8.1925416405455973</v>
      </c>
      <c r="D39" s="91">
        <f t="shared" si="0"/>
        <v>69.600243870759954</v>
      </c>
      <c r="E39" s="92">
        <f t="shared" si="1"/>
        <v>163.01485152044725</v>
      </c>
      <c r="G39" s="3" t="s">
        <v>38</v>
      </c>
      <c r="H39" s="19">
        <v>10.88981931849529</v>
      </c>
      <c r="I39" s="19">
        <v>92.515133096755207</v>
      </c>
      <c r="J39" s="19">
        <v>216.68517014346051</v>
      </c>
    </row>
    <row r="40" spans="2:13" x14ac:dyDescent="0.2">
      <c r="B40" s="3" t="s">
        <v>29</v>
      </c>
      <c r="C40" s="4">
        <f>SUMPRODUCT(C34:C39,'VOC and vehicle mix'!$E$33:$E$38)</f>
        <v>3.1330427107182546</v>
      </c>
      <c r="D40" s="4">
        <f>SUMPRODUCT(D34:D39,'VOC and vehicle mix'!$E$33:$E$38)</f>
        <v>98.027834696386549</v>
      </c>
      <c r="E40" s="4">
        <f>SUMPRODUCT(E34:E39,'VOC and vehicle mix'!$E$33:$E$38)</f>
        <v>229.59679491318312</v>
      </c>
    </row>
    <row r="42" spans="2:13" ht="15.75" x14ac:dyDescent="0.25">
      <c r="B42" s="14" t="s">
        <v>188</v>
      </c>
      <c r="C42" s="14"/>
      <c r="D42" s="14"/>
      <c r="E42" s="14"/>
      <c r="G42" s="14" t="s">
        <v>152</v>
      </c>
      <c r="H42" s="14"/>
      <c r="I42" s="14"/>
      <c r="J42" s="14"/>
      <c r="K42" s="14"/>
      <c r="L42" s="14"/>
      <c r="M42" s="14"/>
    </row>
    <row r="44" spans="2:13" ht="15.75" x14ac:dyDescent="0.25">
      <c r="B44" s="8" t="s">
        <v>71</v>
      </c>
      <c r="C44" s="8"/>
      <c r="G44" s="8" t="s">
        <v>71</v>
      </c>
      <c r="H44" s="8"/>
      <c r="I44" s="1"/>
    </row>
    <row r="45" spans="2:13" x14ac:dyDescent="0.2">
      <c r="B45" s="53"/>
      <c r="C45" s="54"/>
      <c r="G45" s="53" t="s">
        <v>137</v>
      </c>
      <c r="H45" s="54"/>
      <c r="I45" s="1"/>
    </row>
    <row r="46" spans="2:13" x14ac:dyDescent="0.2">
      <c r="G46" s="1"/>
      <c r="H46" s="1"/>
      <c r="I46" s="1"/>
    </row>
    <row r="47" spans="2:13" ht="31.5" x14ac:dyDescent="0.25">
      <c r="B47" s="8" t="s">
        <v>134</v>
      </c>
      <c r="C47" s="23" t="s">
        <v>153</v>
      </c>
      <c r="E47" s="1"/>
      <c r="G47" s="8" t="s">
        <v>134</v>
      </c>
      <c r="H47" s="23" t="s">
        <v>153</v>
      </c>
      <c r="I47" s="1"/>
      <c r="J47" s="1"/>
    </row>
    <row r="48" spans="2:13" x14ac:dyDescent="0.2">
      <c r="B48" s="3" t="s">
        <v>33</v>
      </c>
      <c r="C48" s="52">
        <f>H48*$E$25/$E$26</f>
        <v>0.10220752508047549</v>
      </c>
      <c r="E48" s="1"/>
      <c r="G48" s="3" t="s">
        <v>33</v>
      </c>
      <c r="H48" s="75">
        <v>0.13585789733536591</v>
      </c>
      <c r="I48" s="1"/>
      <c r="J48" s="1"/>
    </row>
    <row r="49" spans="1:26" x14ac:dyDescent="0.2">
      <c r="B49" s="3" t="s">
        <v>34</v>
      </c>
      <c r="C49" s="52">
        <f t="shared" ref="C49:C53" si="3">H49*$E$25/$E$26</f>
        <v>0.10711533918283216</v>
      </c>
      <c r="E49" s="1"/>
      <c r="G49" s="3" t="s">
        <v>34</v>
      </c>
      <c r="H49" s="75">
        <v>0.14238153934640216</v>
      </c>
      <c r="I49" s="1"/>
      <c r="J49" s="1"/>
    </row>
    <row r="50" spans="1:26" x14ac:dyDescent="0.2">
      <c r="B50" s="3" t="s">
        <v>35</v>
      </c>
      <c r="C50" s="52">
        <f t="shared" si="3"/>
        <v>0.10711533918283216</v>
      </c>
      <c r="E50" s="1"/>
      <c r="G50" s="3" t="s">
        <v>35</v>
      </c>
      <c r="H50" s="75">
        <v>0.14238153934640216</v>
      </c>
      <c r="I50" s="1"/>
      <c r="J50" s="1"/>
    </row>
    <row r="51" spans="1:26" x14ac:dyDescent="0.2">
      <c r="B51" s="3" t="s">
        <v>36</v>
      </c>
      <c r="C51" s="52">
        <f t="shared" si="3"/>
        <v>9.7728045842807837E-2</v>
      </c>
      <c r="E51" s="1"/>
      <c r="G51" s="3" t="s">
        <v>36</v>
      </c>
      <c r="H51" s="75">
        <v>0.12990361334396916</v>
      </c>
      <c r="I51" s="1"/>
      <c r="J51" s="1"/>
    </row>
    <row r="52" spans="1:26" x14ac:dyDescent="0.2">
      <c r="B52" s="3" t="s">
        <v>37</v>
      </c>
      <c r="C52" s="52">
        <f t="shared" si="3"/>
        <v>0.12946732052992721</v>
      </c>
      <c r="E52" s="1"/>
      <c r="G52" s="3" t="s">
        <v>37</v>
      </c>
      <c r="H52" s="75">
        <v>0.17209259227234516</v>
      </c>
      <c r="I52" s="1"/>
      <c r="J52" s="1"/>
    </row>
    <row r="53" spans="1:26" x14ac:dyDescent="0.2">
      <c r="B53" s="3" t="s">
        <v>38</v>
      </c>
      <c r="C53" s="52">
        <f t="shared" si="3"/>
        <v>0.12946732052992721</v>
      </c>
      <c r="E53" s="1"/>
      <c r="G53" s="3" t="s">
        <v>38</v>
      </c>
      <c r="H53" s="75">
        <v>0.17209259227234516</v>
      </c>
      <c r="I53" s="1"/>
      <c r="J53" s="1"/>
    </row>
    <row r="54" spans="1:26" x14ac:dyDescent="0.2">
      <c r="B54" s="3" t="s">
        <v>29</v>
      </c>
      <c r="C54" s="65">
        <f>SUMPRODUCT(C48:C53,'VOC and vehicle mix'!$E$33:$E$38)</f>
        <v>0.10273527397811981</v>
      </c>
    </row>
    <row r="56" spans="1:26" customFormat="1" ht="15.75" x14ac:dyDescent="0.25">
      <c r="A56" s="1"/>
      <c r="B56" s="14" t="s">
        <v>128</v>
      </c>
      <c r="C56" s="14"/>
      <c r="D56" s="14"/>
      <c r="E56" s="14"/>
      <c r="Z56" s="1"/>
    </row>
    <row r="57" spans="1:26" x14ac:dyDescent="0.2">
      <c r="E57" s="1"/>
    </row>
    <row r="58" spans="1:26" customFormat="1" ht="15.75" x14ac:dyDescent="0.25">
      <c r="A58" s="1"/>
      <c r="B58" s="8" t="s">
        <v>71</v>
      </c>
      <c r="C58" s="8"/>
      <c r="D58" s="1"/>
      <c r="E58" s="1"/>
      <c r="Z58" s="1"/>
    </row>
    <row r="59" spans="1:26" customFormat="1" x14ac:dyDescent="0.2">
      <c r="A59" s="1"/>
      <c r="B59" s="31" t="s">
        <v>129</v>
      </c>
      <c r="C59" s="32"/>
      <c r="D59" s="1"/>
      <c r="E59" s="1"/>
      <c r="Z59" s="1"/>
    </row>
    <row r="60" spans="1:26" customFormat="1" x14ac:dyDescent="0.2">
      <c r="A60" s="1"/>
      <c r="B60" s="36" t="s">
        <v>130</v>
      </c>
      <c r="C60" s="38"/>
      <c r="D60" s="1"/>
      <c r="E60" s="1"/>
      <c r="Z60" s="1"/>
    </row>
    <row r="61" spans="1:26" customFormat="1" x14ac:dyDescent="0.2">
      <c r="A61" s="1"/>
      <c r="B61" s="1"/>
      <c r="C61" s="1"/>
      <c r="D61" s="1"/>
      <c r="E61" s="1"/>
      <c r="Z61" s="1"/>
    </row>
    <row r="62" spans="1:26" customFormat="1" ht="15.75" x14ac:dyDescent="0.25">
      <c r="A62" s="1"/>
      <c r="B62" s="8"/>
      <c r="C62" s="8" t="s">
        <v>127</v>
      </c>
      <c r="D62" s="1"/>
      <c r="Z62" s="1"/>
    </row>
    <row r="63" spans="1:26" customFormat="1" x14ac:dyDescent="0.2">
      <c r="A63" s="1"/>
      <c r="B63" s="50" t="s">
        <v>131</v>
      </c>
      <c r="C63" s="19">
        <v>1.1100000000000001</v>
      </c>
      <c r="D63" s="1"/>
      <c r="Z63" s="1"/>
    </row>
    <row r="64" spans="1:26" customFormat="1" x14ac:dyDescent="0.2">
      <c r="A64" s="1"/>
      <c r="B64" s="50" t="s">
        <v>132</v>
      </c>
      <c r="C64" s="19">
        <v>1.08</v>
      </c>
      <c r="D64" s="1"/>
      <c r="Z64" s="1"/>
    </row>
    <row r="67" spans="1:26" customFormat="1" x14ac:dyDescent="0.2">
      <c r="A67" s="1"/>
      <c r="B67" s="1"/>
      <c r="C67" s="1"/>
      <c r="D67" s="1"/>
      <c r="E67" s="1"/>
      <c r="Z67" s="1"/>
    </row>
    <row r="68" spans="1:26" x14ac:dyDescent="0.2">
      <c r="E68" s="1"/>
    </row>
    <row r="69" spans="1:26" x14ac:dyDescent="0.2">
      <c r="E69" s="1"/>
    </row>
    <row r="70" spans="1:26" x14ac:dyDescent="0.2">
      <c r="E70" s="1"/>
    </row>
    <row r="71" spans="1:26" x14ac:dyDescent="0.2">
      <c r="E71" s="1"/>
    </row>
    <row r="72" spans="1:26" customFormat="1" x14ac:dyDescent="0.2">
      <c r="A72" s="1"/>
      <c r="B72" s="1"/>
      <c r="C72" s="1"/>
      <c r="D72" s="1"/>
      <c r="E72" s="1"/>
      <c r="G72" s="1"/>
      <c r="Z72" s="1"/>
    </row>
    <row r="73" spans="1:26" customFormat="1" x14ac:dyDescent="0.2">
      <c r="A73" s="1"/>
      <c r="B73" s="1"/>
      <c r="C73" s="1"/>
      <c r="D73" s="1"/>
      <c r="E73" s="1"/>
      <c r="G73" s="1"/>
      <c r="Z73" s="1"/>
    </row>
    <row r="74" spans="1:26" customFormat="1" x14ac:dyDescent="0.2">
      <c r="A74" s="1"/>
      <c r="B74" s="1"/>
      <c r="C74" s="1"/>
      <c r="D74" s="1"/>
      <c r="E74" s="1"/>
      <c r="G74" s="1"/>
      <c r="Z74" s="1"/>
    </row>
    <row r="75" spans="1:26" customFormat="1" x14ac:dyDescent="0.2">
      <c r="A75" s="1"/>
      <c r="B75" s="1"/>
      <c r="C75" s="1"/>
      <c r="D75" s="1"/>
      <c r="E75" s="1"/>
      <c r="G75" s="1"/>
      <c r="Z75" s="1"/>
    </row>
    <row r="76" spans="1:26" customFormat="1" x14ac:dyDescent="0.2">
      <c r="A76" s="1"/>
      <c r="B76" s="1"/>
      <c r="C76" s="1"/>
      <c r="D76" s="1"/>
      <c r="E76" s="1"/>
      <c r="G76" s="1"/>
      <c r="Z76" s="1"/>
    </row>
    <row r="77" spans="1:26" customFormat="1" x14ac:dyDescent="0.2">
      <c r="A77" s="1"/>
      <c r="B77" s="1"/>
      <c r="C77" s="1"/>
      <c r="D77" s="1"/>
      <c r="E77" s="1"/>
      <c r="G77" s="1"/>
      <c r="Z77" s="1"/>
    </row>
    <row r="78" spans="1:26" customFormat="1" x14ac:dyDescent="0.2">
      <c r="A78" s="1"/>
      <c r="B78" s="1"/>
      <c r="C78" s="1"/>
      <c r="D78" s="1"/>
      <c r="E78" s="1"/>
      <c r="G78" s="1"/>
      <c r="Z78" s="1"/>
    </row>
    <row r="79" spans="1:26" customFormat="1" x14ac:dyDescent="0.2">
      <c r="A79" s="1"/>
      <c r="B79" s="1"/>
      <c r="C79" s="1"/>
      <c r="D79" s="1"/>
      <c r="E79" s="1"/>
      <c r="G79" s="1"/>
      <c r="Z79" s="1"/>
    </row>
    <row r="80" spans="1:26" customFormat="1" x14ac:dyDescent="0.2">
      <c r="B80" s="1"/>
      <c r="C80" s="1"/>
      <c r="D80" s="1"/>
      <c r="E80" s="1"/>
    </row>
    <row r="81" spans="1:26" x14ac:dyDescent="0.2">
      <c r="E81" s="1"/>
    </row>
    <row r="82" spans="1:26" x14ac:dyDescent="0.2">
      <c r="E82" s="1"/>
    </row>
    <row r="83" spans="1:26" x14ac:dyDescent="0.2">
      <c r="E83" s="1"/>
    </row>
    <row r="84" spans="1:26" x14ac:dyDescent="0.2">
      <c r="E84" s="1"/>
    </row>
    <row r="85" spans="1:26" customFormat="1" x14ac:dyDescent="0.2">
      <c r="A85" s="1"/>
      <c r="B85" s="1"/>
      <c r="C85" s="1"/>
      <c r="D85" s="1"/>
      <c r="E85" s="1"/>
      <c r="Z85" s="1"/>
    </row>
    <row r="86" spans="1:26" customFormat="1" x14ac:dyDescent="0.2">
      <c r="A86" s="1"/>
      <c r="B86" s="1"/>
      <c r="C86" s="1"/>
      <c r="D86" s="1"/>
      <c r="E86" s="1"/>
      <c r="Z86" s="1"/>
    </row>
    <row r="87" spans="1:26" customFormat="1" x14ac:dyDescent="0.2">
      <c r="A87" s="1"/>
      <c r="B87" s="1"/>
      <c r="C87" s="1"/>
      <c r="D87" s="1"/>
      <c r="E87" s="1"/>
      <c r="Z87" s="1"/>
    </row>
    <row r="88" spans="1:26" customFormat="1" x14ac:dyDescent="0.2">
      <c r="A88" s="1"/>
      <c r="B88" s="1"/>
      <c r="C88" s="1"/>
      <c r="D88" s="1"/>
      <c r="E88" s="1"/>
      <c r="Z88" s="1"/>
    </row>
    <row r="89" spans="1:26" customFormat="1" x14ac:dyDescent="0.2">
      <c r="A89" s="1"/>
      <c r="B89" s="1"/>
      <c r="C89" s="1"/>
      <c r="D89" s="1"/>
      <c r="E89" s="1"/>
      <c r="Z89" s="1"/>
    </row>
    <row r="90" spans="1:26" customFormat="1" x14ac:dyDescent="0.2">
      <c r="A90" s="1"/>
      <c r="B90" s="1"/>
      <c r="C90" s="1"/>
      <c r="D90" s="1"/>
      <c r="E90" s="1"/>
      <c r="Z90" s="1"/>
    </row>
    <row r="91" spans="1:26" customFormat="1" x14ac:dyDescent="0.2">
      <c r="A91" s="1"/>
      <c r="B91" s="1"/>
      <c r="C91" s="1"/>
      <c r="D91" s="1"/>
      <c r="E91" s="1"/>
      <c r="Z91" s="1"/>
    </row>
    <row r="92" spans="1:26" x14ac:dyDescent="0.2">
      <c r="E92" s="1"/>
    </row>
    <row r="93" spans="1:26" customFormat="1" x14ac:dyDescent="0.2">
      <c r="B93" s="1"/>
      <c r="C93" s="1"/>
      <c r="D93" s="1"/>
      <c r="E93" s="1"/>
    </row>
    <row r="94" spans="1:26" x14ac:dyDescent="0.2">
      <c r="E94" s="1"/>
    </row>
    <row r="95" spans="1:26" x14ac:dyDescent="0.2">
      <c r="E95" s="1"/>
    </row>
    <row r="96" spans="1:26" x14ac:dyDescent="0.2">
      <c r="E96" s="1"/>
    </row>
    <row r="97" spans="2:5" x14ac:dyDescent="0.2">
      <c r="E97" s="1"/>
    </row>
    <row r="98" spans="2:5" x14ac:dyDescent="0.2">
      <c r="E98" s="1"/>
    </row>
    <row r="99" spans="2:5" x14ac:dyDescent="0.2">
      <c r="E99" s="1"/>
    </row>
    <row r="100" spans="2:5" x14ac:dyDescent="0.2">
      <c r="E100" s="1"/>
    </row>
    <row r="101" spans="2:5" x14ac:dyDescent="0.2">
      <c r="E101" s="1"/>
    </row>
    <row r="102" spans="2:5" x14ac:dyDescent="0.2">
      <c r="E102" s="1"/>
    </row>
    <row r="103" spans="2:5" customFormat="1" x14ac:dyDescent="0.2">
      <c r="B103" s="1"/>
      <c r="C103" s="1"/>
      <c r="D103" s="1"/>
    </row>
    <row r="104" spans="2:5" x14ac:dyDescent="0.2">
      <c r="E104" s="1"/>
    </row>
    <row r="105" spans="2:5" x14ac:dyDescent="0.2">
      <c r="E105" s="1"/>
    </row>
    <row r="106" spans="2:5" x14ac:dyDescent="0.2">
      <c r="E106" s="1"/>
    </row>
    <row r="107" spans="2:5" x14ac:dyDescent="0.2">
      <c r="E107" s="1"/>
    </row>
    <row r="108" spans="2:5" x14ac:dyDescent="0.2">
      <c r="E108" s="1"/>
    </row>
    <row r="109" spans="2:5" x14ac:dyDescent="0.2">
      <c r="E109" s="1"/>
    </row>
    <row r="110" spans="2:5" x14ac:dyDescent="0.2">
      <c r="E110" s="1"/>
    </row>
    <row r="111" spans="2:5" x14ac:dyDescent="0.2">
      <c r="E111" s="1"/>
    </row>
    <row r="112" spans="2:5" x14ac:dyDescent="0.2">
      <c r="E112" s="1"/>
    </row>
    <row r="113" spans="5:5" x14ac:dyDescent="0.2">
      <c r="E113" s="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EF3AD-98AE-4263-8BC4-F629FF659C62}">
  <sheetPr>
    <tabColor rgb="FF99FFCC"/>
  </sheetPr>
  <dimension ref="A1:W22"/>
  <sheetViews>
    <sheetView showGridLines="0" zoomScale="70" zoomScaleNormal="70" workbookViewId="0">
      <selection activeCell="B57" sqref="B57"/>
    </sheetView>
  </sheetViews>
  <sheetFormatPr defaultColWidth="8.88671875" defaultRowHeight="15" x14ac:dyDescent="0.2"/>
  <cols>
    <col min="1" max="1" width="18.5546875" style="1" customWidth="1"/>
    <col min="2" max="2" width="24.33203125" customWidth="1"/>
    <col min="3" max="3" width="22.6640625" bestFit="1" customWidth="1"/>
    <col min="4" max="5" width="12" customWidth="1"/>
    <col min="6" max="6" width="18.6640625" customWidth="1"/>
    <col min="7" max="7" width="15.44140625" customWidth="1"/>
    <col min="8" max="8" width="15.5546875" bestFit="1" customWidth="1"/>
    <col min="9" max="9" width="10.6640625" customWidth="1"/>
    <col min="10" max="10" width="10.109375" bestFit="1" customWidth="1"/>
    <col min="11" max="23" width="8.6640625" customWidth="1"/>
    <col min="24" max="16384" width="8.88671875" style="1"/>
  </cols>
  <sheetData>
    <row r="1" spans="1:7" ht="18" x14ac:dyDescent="0.25">
      <c r="A1" s="2" t="str">
        <f ca="1">MID(CELL("filename",A2),FIND("]",CELL("filename",A2))+1,256)</f>
        <v>Lists</v>
      </c>
    </row>
    <row r="2" spans="1:7" x14ac:dyDescent="0.2">
      <c r="A2" s="5" t="s">
        <v>0</v>
      </c>
    </row>
    <row r="4" spans="1:7" ht="20.25" x14ac:dyDescent="0.3">
      <c r="B4" s="18" t="s">
        <v>95</v>
      </c>
      <c r="C4" s="18"/>
      <c r="D4" s="18"/>
      <c r="E4" s="18"/>
      <c r="F4" s="18"/>
      <c r="G4" s="18"/>
    </row>
    <row r="6" spans="1:7" ht="15.75" x14ac:dyDescent="0.25">
      <c r="B6" s="14" t="s">
        <v>96</v>
      </c>
      <c r="C6" s="14"/>
      <c r="D6" s="14"/>
      <c r="E6" s="14"/>
      <c r="F6" s="14"/>
      <c r="G6" s="14"/>
    </row>
    <row r="8" spans="1:7" ht="15.75" x14ac:dyDescent="0.25">
      <c r="B8" s="8" t="s">
        <v>21</v>
      </c>
      <c r="C8" s="8" t="s">
        <v>97</v>
      </c>
      <c r="D8" s="8" t="s">
        <v>98</v>
      </c>
      <c r="E8" s="8" t="s">
        <v>23</v>
      </c>
      <c r="F8" s="8" t="s">
        <v>99</v>
      </c>
      <c r="G8" s="8" t="s">
        <v>55</v>
      </c>
    </row>
    <row r="9" spans="1:7" customFormat="1" x14ac:dyDescent="0.2">
      <c r="B9" s="3" t="s">
        <v>12</v>
      </c>
      <c r="C9" s="3" t="s">
        <v>22</v>
      </c>
      <c r="D9" s="3" t="s">
        <v>100</v>
      </c>
      <c r="E9" s="3" t="s">
        <v>74</v>
      </c>
      <c r="F9" s="3">
        <v>2021</v>
      </c>
      <c r="G9" s="3" t="s">
        <v>101</v>
      </c>
    </row>
    <row r="10" spans="1:7" customFormat="1" x14ac:dyDescent="0.2">
      <c r="B10" s="3" t="s">
        <v>118</v>
      </c>
      <c r="C10" s="3" t="s">
        <v>102</v>
      </c>
      <c r="D10" s="3" t="s">
        <v>103</v>
      </c>
      <c r="E10" s="3" t="s">
        <v>24</v>
      </c>
      <c r="F10" s="3">
        <f>F9+1</f>
        <v>2022</v>
      </c>
      <c r="G10" s="3" t="s">
        <v>57</v>
      </c>
    </row>
    <row r="11" spans="1:7" customFormat="1" x14ac:dyDescent="0.2">
      <c r="D11" s="3" t="s">
        <v>104</v>
      </c>
      <c r="F11" s="3">
        <f>F10+1</f>
        <v>2023</v>
      </c>
      <c r="G11" s="3" t="s">
        <v>105</v>
      </c>
    </row>
    <row r="12" spans="1:7" customFormat="1" x14ac:dyDescent="0.2">
      <c r="F12" s="3">
        <f>F11+1</f>
        <v>2024</v>
      </c>
      <c r="G12" s="3" t="s">
        <v>56</v>
      </c>
    </row>
    <row r="13" spans="1:7" customFormat="1" x14ac:dyDescent="0.2">
      <c r="F13" s="3">
        <f>F12+1</f>
        <v>2025</v>
      </c>
      <c r="G13" s="3" t="s">
        <v>106</v>
      </c>
    </row>
    <row r="14" spans="1:7" customFormat="1" x14ac:dyDescent="0.2"/>
    <row r="15" spans="1:7" customFormat="1" ht="15.75" x14ac:dyDescent="0.25">
      <c r="B15" s="14" t="s">
        <v>39</v>
      </c>
      <c r="C15" s="14"/>
      <c r="D15" s="14"/>
      <c r="E15" s="14"/>
      <c r="F15" s="14"/>
      <c r="G15" s="14"/>
    </row>
    <row r="17" spans="2:7" ht="15.75" x14ac:dyDescent="0.25">
      <c r="B17" s="8" t="s">
        <v>107</v>
      </c>
      <c r="C17" s="8" t="s">
        <v>50</v>
      </c>
      <c r="D17" s="8" t="s">
        <v>108</v>
      </c>
      <c r="E17" s="8" t="s">
        <v>48</v>
      </c>
      <c r="F17" s="8" t="s">
        <v>109</v>
      </c>
      <c r="G17" s="8" t="s">
        <v>110</v>
      </c>
    </row>
    <row r="18" spans="2:7" x14ac:dyDescent="0.2">
      <c r="B18" s="3" t="s">
        <v>49</v>
      </c>
      <c r="C18" s="11">
        <v>1</v>
      </c>
      <c r="D18" s="11">
        <v>2</v>
      </c>
      <c r="E18" s="11">
        <v>3</v>
      </c>
      <c r="F18" s="11">
        <v>4</v>
      </c>
      <c r="G18" s="11">
        <v>5</v>
      </c>
    </row>
    <row r="19" spans="2:7" x14ac:dyDescent="0.2">
      <c r="B19" s="3" t="s">
        <v>111</v>
      </c>
      <c r="C19" s="11">
        <v>2</v>
      </c>
      <c r="D19" s="11">
        <v>4</v>
      </c>
      <c r="E19" s="11">
        <v>6</v>
      </c>
      <c r="F19" s="11">
        <v>8</v>
      </c>
      <c r="G19" s="11">
        <v>10</v>
      </c>
    </row>
    <row r="20" spans="2:7" x14ac:dyDescent="0.2">
      <c r="B20" s="3" t="s">
        <v>112</v>
      </c>
      <c r="C20" s="11">
        <v>3</v>
      </c>
      <c r="D20" s="11">
        <v>6</v>
      </c>
      <c r="E20" s="11">
        <v>9</v>
      </c>
      <c r="F20" s="11">
        <v>12</v>
      </c>
      <c r="G20" s="11">
        <v>15</v>
      </c>
    </row>
    <row r="21" spans="2:7" x14ac:dyDescent="0.2">
      <c r="B21" s="3" t="s">
        <v>113</v>
      </c>
      <c r="C21" s="11">
        <v>4</v>
      </c>
      <c r="D21" s="11">
        <v>8</v>
      </c>
      <c r="E21" s="11">
        <v>12</v>
      </c>
      <c r="F21" s="11">
        <v>16</v>
      </c>
      <c r="G21" s="11">
        <v>20</v>
      </c>
    </row>
    <row r="22" spans="2:7" x14ac:dyDescent="0.2">
      <c r="B22" s="3" t="s">
        <v>47</v>
      </c>
      <c r="C22" s="11">
        <v>5</v>
      </c>
      <c r="D22" s="11">
        <v>10</v>
      </c>
      <c r="E22" s="11">
        <v>15</v>
      </c>
      <c r="F22" s="11">
        <v>20</v>
      </c>
      <c r="G22" s="11">
        <v>25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4782504B59CD43BDF97C5C55CB9D52" ma:contentTypeVersion="1" ma:contentTypeDescription="Create a new document." ma:contentTypeScope="" ma:versionID="245ec07bf3999e5ce729410d237f67a0">
  <xsd:schema xmlns:xsd="http://www.w3.org/2001/XMLSchema" xmlns:xs="http://www.w3.org/2001/XMLSchema" xmlns:p="http://schemas.microsoft.com/office/2006/metadata/properties" xmlns:ns2="9d0d1366-599b-4f21-9efe-be9e1bd6db71" targetNamespace="http://schemas.microsoft.com/office/2006/metadata/properties" ma:root="true" ma:fieldsID="8f49b04f30d4890cf5bd18cb47c60aa0" ns2:_="">
    <xsd:import namespace="9d0d1366-599b-4f21-9efe-be9e1bd6db7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0d1366-599b-4f21-9efe-be9e1bd6db7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061CBA-415D-48D3-8C79-21C27D57DF21}">
  <ds:schemaRefs>
    <ds:schemaRef ds:uri="http://schemas.microsoft.com/office/2006/metadata/propertie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9d0d1366-599b-4f21-9efe-be9e1bd6db71"/>
    <ds:schemaRef ds:uri="http://purl.org/dc/terms/"/>
  </ds:schemaRefs>
</ds:datastoreItem>
</file>

<file path=customXml/itemProps2.xml><?xml version="1.0" encoding="utf-8"?>
<ds:datastoreItem xmlns:ds="http://schemas.openxmlformats.org/officeDocument/2006/customXml" ds:itemID="{4A7D1C10-F03C-4AA2-B67E-22A87A7DB5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0d1366-599b-4f21-9efe-be9e1bd6db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A96E3E-ECB1-4FF3-998C-01F7D3D049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Info</vt:lpstr>
      <vt:lpstr>User interface</vt:lpstr>
      <vt:lpstr>Calculations</vt:lpstr>
      <vt:lpstr>Detailed assumptions =&gt;</vt:lpstr>
      <vt:lpstr>High level assumptions</vt:lpstr>
      <vt:lpstr>VOC and vehicle mix</vt:lpstr>
      <vt:lpstr>Safety</vt:lpstr>
      <vt:lpstr>Lists</vt:lpstr>
      <vt:lpstr>AADT</vt:lpstr>
      <vt:lpstr>AssetType</vt:lpstr>
      <vt:lpstr>BenefitYear</vt:lpstr>
      <vt:lpstr>CPI_2013</vt:lpstr>
      <vt:lpstr>CPI_2019</vt:lpstr>
      <vt:lpstr>CPI_2020</vt:lpstr>
      <vt:lpstr>CPI_Dec2019</vt:lpstr>
      <vt:lpstr>Discount_Rate</vt:lpstr>
      <vt:lpstr>Region</vt:lpstr>
      <vt:lpstr>Traffic_Growth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Investment prioritisation template: Traffic lights and signs	</dc:title>
  <dc:creator>Dylan Frangos</dc:creator>
  <cp:lastModifiedBy>Elaena Gardner</cp:lastModifiedBy>
  <dcterms:created xsi:type="dcterms:W3CDTF">2014-04-05T12:28:10Z</dcterms:created>
  <dcterms:modified xsi:type="dcterms:W3CDTF">2021-06-21T05:32:34Z</dcterms:modified>
  <cp:contentStatus>© Austroads 2021 | This work is copyright. Apart from any use as permitted under the Copyright Act 1968, no part may be reproduced by any process without the prior written permission of Austroads. This material is for personal use only, it is not to be used for commercial training purposes.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0x010100064782504B59CD43BDF97C5C55CB9D52</vt:lpwstr>
  </property>
</Properties>
</file>